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1 год субподряд\НИТЭЦ\251-1-НИТЭЦ-2021-ГЗШ7 проект\"/>
    </mc:Choice>
  </mc:AlternateContent>
  <bookViews>
    <workbookView xWindow="-90" yWindow="330" windowWidth="15180" windowHeight="8595"/>
  </bookViews>
  <sheets>
    <sheet name="13-ТИ-КЦ-21-СП" sheetId="1" r:id="rId1"/>
  </sheets>
  <definedNames>
    <definedName name="_xlnm._FilterDatabase" localSheetId="0" hidden="1">'13-ТИ-КЦ-21-СП'!$M$1:$M$457</definedName>
    <definedName name="_xlnm.Print_Titles" localSheetId="0">'13-ТИ-КЦ-21-СП'!$17:$17</definedName>
    <definedName name="_xlnm.Print_Area" localSheetId="0">'13-ТИ-КЦ-21-СП'!$A$1:$P$424</definedName>
  </definedNames>
  <calcPr calcId="162913" fullPrecision="0"/>
</workbook>
</file>

<file path=xl/calcChain.xml><?xml version="1.0" encoding="utf-8"?>
<calcChain xmlns="http://schemas.openxmlformats.org/spreadsheetml/2006/main">
  <c r="L413" i="1" l="1"/>
  <c r="L412" i="1"/>
  <c r="I414" i="1" l="1"/>
  <c r="J410" i="1" l="1"/>
  <c r="J407" i="1"/>
  <c r="O407" i="1" s="1"/>
  <c r="J409" i="1" l="1"/>
  <c r="O410" i="1"/>
  <c r="E313" i="1"/>
  <c r="E117" i="1"/>
  <c r="I23" i="1"/>
  <c r="L380" i="1" l="1"/>
  <c r="L205" i="1"/>
  <c r="H414" i="1" l="1"/>
  <c r="I274" i="1" l="1"/>
  <c r="O289" i="1" l="1"/>
  <c r="O287" i="1"/>
  <c r="O285" i="1"/>
  <c r="O256" i="1"/>
  <c r="O255" i="1"/>
  <c r="O253" i="1"/>
  <c r="I61" i="1"/>
  <c r="I63" i="1" s="1"/>
  <c r="J59" i="1" l="1"/>
  <c r="H98" i="1" l="1"/>
  <c r="H87" i="1"/>
  <c r="H76" i="1"/>
  <c r="H54" i="1"/>
  <c r="H65" i="1"/>
  <c r="I401" i="1" l="1"/>
  <c r="J399" i="1" s="1"/>
  <c r="J398" i="1" s="1"/>
  <c r="I354" i="1"/>
  <c r="I356" i="1" s="1"/>
  <c r="J352" i="1"/>
  <c r="J326" i="1"/>
  <c r="O326" i="1" s="1"/>
  <c r="J309" i="1"/>
  <c r="J308" i="1" s="1"/>
  <c r="J302" i="1"/>
  <c r="I247" i="1"/>
  <c r="J243" i="1"/>
  <c r="J242" i="1" s="1"/>
  <c r="I237" i="1"/>
  <c r="J235" i="1"/>
  <c r="I174" i="1"/>
  <c r="I180" i="1" s="1"/>
  <c r="I173" i="1"/>
  <c r="I178" i="1" s="1"/>
  <c r="J168" i="1"/>
  <c r="J167" i="1" s="1"/>
  <c r="E170" i="1"/>
  <c r="I166" i="1" s="1"/>
  <c r="E166" i="1"/>
  <c r="I118" i="1"/>
  <c r="I123" i="1" s="1"/>
  <c r="I119" i="1"/>
  <c r="I125" i="1" s="1"/>
  <c r="I110" i="1"/>
  <c r="I114" i="1"/>
  <c r="J112" i="1"/>
  <c r="J111" i="1" s="1"/>
  <c r="I72" i="1"/>
  <c r="J70" i="1"/>
  <c r="J56" i="1"/>
  <c r="O52" i="1"/>
  <c r="D53" i="1"/>
  <c r="O53" i="1" s="1"/>
  <c r="J44" i="1"/>
  <c r="I46" i="1"/>
  <c r="E42" i="1"/>
  <c r="I42" i="1" s="1"/>
  <c r="J37" i="1"/>
  <c r="O37" i="1" s="1"/>
  <c r="I39" i="1"/>
  <c r="I35" i="1"/>
  <c r="E28" i="1"/>
  <c r="I28" i="1" s="1"/>
  <c r="E32" i="1"/>
  <c r="I32" i="1" s="1"/>
  <c r="O365" i="1" l="1"/>
  <c r="J36" i="1"/>
  <c r="J30" i="1"/>
  <c r="J20" i="1"/>
  <c r="J21" i="1" s="1"/>
  <c r="I25" i="1" l="1"/>
  <c r="O21" i="1"/>
  <c r="I406" i="1" l="1"/>
  <c r="O386" i="1"/>
  <c r="O385" i="1"/>
  <c r="O384" i="1"/>
  <c r="O354" i="1"/>
  <c r="O352" i="1"/>
  <c r="J351" i="1"/>
  <c r="I332" i="1"/>
  <c r="I338" i="1" s="1"/>
  <c r="I331" i="1"/>
  <c r="I336" i="1" s="1"/>
  <c r="I314" i="1"/>
  <c r="I315" i="1"/>
  <c r="O302" i="1"/>
  <c r="J292" i="1"/>
  <c r="J272" i="1"/>
  <c r="O272" i="1" s="1"/>
  <c r="O298" i="1" l="1"/>
  <c r="O296" i="1"/>
  <c r="O294" i="1"/>
  <c r="J271" i="1"/>
  <c r="J260" i="1"/>
  <c r="J259" i="1" s="1"/>
  <c r="J250" i="1"/>
  <c r="O245" i="1"/>
  <c r="O243" i="1"/>
  <c r="O237" i="1"/>
  <c r="O235" i="1"/>
  <c r="J234" i="1"/>
  <c r="O224" i="1"/>
  <c r="J222" i="1"/>
  <c r="J221" i="1" s="1"/>
  <c r="O219" i="1"/>
  <c r="O218" i="1"/>
  <c r="O217" i="1"/>
  <c r="O211" i="1"/>
  <c r="J209" i="1"/>
  <c r="O209" i="1" s="1"/>
  <c r="I205" i="1"/>
  <c r="O200" i="1"/>
  <c r="J198" i="1"/>
  <c r="O195" i="1"/>
  <c r="O193" i="1"/>
  <c r="O191" i="1"/>
  <c r="O168" i="1"/>
  <c r="J161" i="1"/>
  <c r="J160" i="1" s="1"/>
  <c r="I150" i="1"/>
  <c r="I156" i="1" s="1"/>
  <c r="J142" i="1"/>
  <c r="O142" i="1" s="1"/>
  <c r="I131" i="1"/>
  <c r="J129" i="1"/>
  <c r="O129" i="1" s="1"/>
  <c r="O114" i="1"/>
  <c r="J197" i="1" l="1"/>
  <c r="O205" i="1"/>
  <c r="J141" i="1"/>
  <c r="O131" i="1"/>
  <c r="O198" i="1"/>
  <c r="I133" i="1"/>
  <c r="O222" i="1"/>
  <c r="J128" i="1"/>
  <c r="J100" i="1"/>
  <c r="J99" i="1" s="1"/>
  <c r="J92" i="1"/>
  <c r="J89" i="1"/>
  <c r="J88" i="1" s="1"/>
  <c r="I83" i="1"/>
  <c r="O83" i="1" s="1"/>
  <c r="J81" i="1"/>
  <c r="J80" i="1" s="1"/>
  <c r="O72" i="1"/>
  <c r="O70" i="1"/>
  <c r="J67" i="1"/>
  <c r="J66" i="1" s="1"/>
  <c r="O59" i="1"/>
  <c r="J58" i="1"/>
  <c r="O56" i="1"/>
  <c r="J55" i="1"/>
  <c r="O44" i="1"/>
  <c r="J43" i="1"/>
  <c r="O100" i="1" l="1"/>
  <c r="O81" i="1"/>
  <c r="I85" i="1"/>
  <c r="O92" i="1"/>
  <c r="O67" i="1"/>
  <c r="J29" i="1" l="1"/>
  <c r="O30" i="1"/>
  <c r="O23" i="1"/>
  <c r="L171" i="1" l="1"/>
  <c r="L170" i="1"/>
  <c r="L169" i="1"/>
  <c r="O169" i="1" s="1"/>
  <c r="I170" i="1"/>
  <c r="L147" i="1"/>
  <c r="L146" i="1"/>
  <c r="L145" i="1"/>
  <c r="I144" i="1"/>
  <c r="L143" i="1"/>
  <c r="O143" i="1" s="1"/>
  <c r="I105" i="1"/>
  <c r="O145" i="1" l="1"/>
  <c r="O144" i="1"/>
  <c r="O105" i="1"/>
  <c r="O170" i="1"/>
  <c r="O171" i="1"/>
  <c r="I146" i="1"/>
  <c r="O146" i="1" l="1"/>
  <c r="O147" i="1"/>
  <c r="O380" i="1"/>
  <c r="I107" i="1"/>
  <c r="J103" i="1"/>
  <c r="O103" i="1" s="1"/>
  <c r="O379" i="1" l="1"/>
  <c r="O377" i="1"/>
  <c r="O375" i="1"/>
  <c r="I342" i="1"/>
  <c r="I341" i="1"/>
  <c r="I262" i="1"/>
  <c r="J78" i="1"/>
  <c r="O78" i="1" l="1"/>
  <c r="J406" i="1" l="1"/>
  <c r="O362" i="1"/>
  <c r="O361" i="1"/>
  <c r="O360" i="1"/>
  <c r="I328" i="1" l="1"/>
  <c r="O280" i="1"/>
  <c r="O279" i="1"/>
  <c r="O278" i="1"/>
  <c r="O268" i="1"/>
  <c r="O267" i="1"/>
  <c r="O266" i="1"/>
  <c r="O260" i="1"/>
  <c r="I239" i="1"/>
  <c r="J208" i="1"/>
  <c r="I202" i="1"/>
  <c r="O138" i="1"/>
  <c r="O137" i="1"/>
  <c r="O186" i="1"/>
  <c r="O185" i="1"/>
  <c r="O184" i="1"/>
  <c r="I163" i="1"/>
  <c r="O399" i="1" l="1"/>
  <c r="O163" i="1"/>
  <c r="O328" i="1"/>
  <c r="O309" i="1"/>
  <c r="I324" i="1"/>
  <c r="I149" i="1"/>
  <c r="I154" i="1" s="1"/>
  <c r="O51" i="1" l="1"/>
  <c r="O50" i="1"/>
  <c r="O139" i="1"/>
  <c r="I94" i="1"/>
  <c r="J77" i="1"/>
  <c r="O61" i="1"/>
  <c r="O94" i="1" l="1"/>
  <c r="O112" i="1"/>
  <c r="I394" i="1"/>
  <c r="I96" i="1"/>
  <c r="O89" i="1"/>
  <c r="J102" i="1"/>
  <c r="L26" i="1" l="1"/>
  <c r="O26" i="1" s="1"/>
  <c r="L25" i="1"/>
  <c r="O25" i="1" s="1"/>
  <c r="L24" i="1"/>
  <c r="O24" i="1" s="1"/>
  <c r="L22" i="1"/>
  <c r="O22" i="1" s="1"/>
  <c r="L349" i="1" l="1"/>
  <c r="L348" i="1"/>
  <c r="L347" i="1"/>
  <c r="L346" i="1"/>
  <c r="L345" i="1"/>
  <c r="I348" i="1"/>
  <c r="I346" i="1"/>
  <c r="E340" i="1"/>
  <c r="J344" i="1" s="1"/>
  <c r="L339" i="1"/>
  <c r="O339" i="1" s="1"/>
  <c r="L338" i="1"/>
  <c r="O338" i="1" s="1"/>
  <c r="L337" i="1"/>
  <c r="O337" i="1" s="1"/>
  <c r="L336" i="1"/>
  <c r="O336" i="1" s="1"/>
  <c r="L335" i="1"/>
  <c r="E330" i="1"/>
  <c r="J334" i="1" s="1"/>
  <c r="O344" i="1" l="1"/>
  <c r="O345" i="1"/>
  <c r="J333" i="1"/>
  <c r="O335" i="1"/>
  <c r="O334" i="1"/>
  <c r="O346" i="1"/>
  <c r="O347" i="1"/>
  <c r="O349" i="1"/>
  <c r="O348" i="1"/>
  <c r="J343" i="1"/>
  <c r="L402" i="1" l="1"/>
  <c r="O402" i="1" s="1"/>
  <c r="L401" i="1"/>
  <c r="O401" i="1" s="1"/>
  <c r="L400" i="1"/>
  <c r="O400" i="1" s="1"/>
  <c r="L381" i="1"/>
  <c r="O381" i="1" s="1"/>
  <c r="L370" i="1"/>
  <c r="O370" i="1" s="1"/>
  <c r="L368" i="1"/>
  <c r="O368" i="1" s="1"/>
  <c r="L206" i="1"/>
  <c r="O206" i="1" s="1"/>
  <c r="L203" i="1"/>
  <c r="O203" i="1" s="1"/>
  <c r="L202" i="1"/>
  <c r="O202" i="1" s="1"/>
  <c r="L201" i="1"/>
  <c r="O201" i="1" s="1"/>
  <c r="L199" i="1"/>
  <c r="O199" i="1" s="1"/>
  <c r="L157" i="1"/>
  <c r="O157" i="1" s="1"/>
  <c r="L156" i="1"/>
  <c r="O156" i="1" s="1"/>
  <c r="L155" i="1"/>
  <c r="O155" i="1" s="1"/>
  <c r="L154" i="1"/>
  <c r="O154" i="1" s="1"/>
  <c r="L153" i="1"/>
  <c r="J152" i="1"/>
  <c r="L322" i="1"/>
  <c r="L321" i="1"/>
  <c r="L320" i="1"/>
  <c r="L319" i="1"/>
  <c r="L318" i="1"/>
  <c r="I321" i="1"/>
  <c r="I319" i="1"/>
  <c r="J317" i="1"/>
  <c r="L312" i="1"/>
  <c r="I311" i="1"/>
  <c r="L310" i="1"/>
  <c r="O310" i="1" s="1"/>
  <c r="L305" i="1"/>
  <c r="I304" i="1"/>
  <c r="L303" i="1"/>
  <c r="O303" i="1" s="1"/>
  <c r="J291" i="1"/>
  <c r="L275" i="1"/>
  <c r="O275" i="1" s="1"/>
  <c r="L274" i="1"/>
  <c r="O274" i="1" s="1"/>
  <c r="L273" i="1"/>
  <c r="O273" i="1" s="1"/>
  <c r="L240" i="1"/>
  <c r="O240" i="1" s="1"/>
  <c r="L239" i="1"/>
  <c r="O239" i="1" s="1"/>
  <c r="L238" i="1"/>
  <c r="O238" i="1" s="1"/>
  <c r="L236" i="1"/>
  <c r="O236" i="1" s="1"/>
  <c r="L164" i="1"/>
  <c r="O164" i="1" s="1"/>
  <c r="L162" i="1"/>
  <c r="L134" i="1"/>
  <c r="O134" i="1" s="1"/>
  <c r="L133" i="1"/>
  <c r="O133" i="1" s="1"/>
  <c r="L132" i="1"/>
  <c r="O132" i="1" s="1"/>
  <c r="L130" i="1"/>
  <c r="O130" i="1" s="1"/>
  <c r="J121" i="1"/>
  <c r="L126" i="1"/>
  <c r="O126" i="1" s="1"/>
  <c r="L125" i="1"/>
  <c r="O125" i="1" s="1"/>
  <c r="L124" i="1"/>
  <c r="O124" i="1" s="1"/>
  <c r="L123" i="1"/>
  <c r="O123" i="1" s="1"/>
  <c r="L122" i="1"/>
  <c r="L115" i="1"/>
  <c r="O115" i="1" s="1"/>
  <c r="L113" i="1"/>
  <c r="O113" i="1" s="1"/>
  <c r="J69" i="1"/>
  <c r="J91" i="1"/>
  <c r="O304" i="1" l="1"/>
  <c r="O305" i="1"/>
  <c r="O317" i="1"/>
  <c r="O318" i="1"/>
  <c r="J316" i="1"/>
  <c r="O153" i="1"/>
  <c r="O152" i="1"/>
  <c r="O319" i="1"/>
  <c r="O320" i="1"/>
  <c r="O122" i="1"/>
  <c r="J120" i="1"/>
  <c r="O121" i="1"/>
  <c r="O312" i="1"/>
  <c r="O322" i="1"/>
  <c r="O321" i="1"/>
  <c r="J151" i="1"/>
  <c r="O311" i="1"/>
  <c r="I300" i="1"/>
  <c r="J301" i="1"/>
  <c r="I307" i="1"/>
  <c r="O161" i="1"/>
  <c r="I159" i="1"/>
  <c r="O162" i="1"/>
  <c r="L97" i="1" l="1"/>
  <c r="O97" i="1" s="1"/>
  <c r="L96" i="1"/>
  <c r="O96" i="1" s="1"/>
  <c r="L95" i="1"/>
  <c r="O95" i="1" s="1"/>
  <c r="L93" i="1"/>
  <c r="O93" i="1" s="1"/>
  <c r="L90" i="1"/>
  <c r="O90" i="1" s="1"/>
  <c r="L86" i="1" l="1"/>
  <c r="L85" i="1"/>
  <c r="L84" i="1"/>
  <c r="O84" i="1" s="1"/>
  <c r="L82" i="1"/>
  <c r="O82" i="1" s="1"/>
  <c r="L79" i="1"/>
  <c r="O79" i="1" s="1"/>
  <c r="L75" i="1"/>
  <c r="L74" i="1"/>
  <c r="L73" i="1"/>
  <c r="O73" i="1" s="1"/>
  <c r="L71" i="1"/>
  <c r="O71" i="1" s="1"/>
  <c r="L68" i="1"/>
  <c r="O68" i="1" s="1"/>
  <c r="L108" i="1"/>
  <c r="O108" i="1" s="1"/>
  <c r="L107" i="1"/>
  <c r="O107" i="1" s="1"/>
  <c r="L106" i="1"/>
  <c r="O106" i="1" s="1"/>
  <c r="L104" i="1"/>
  <c r="O104" i="1" s="1"/>
  <c r="L101" i="1"/>
  <c r="O101" i="1" s="1"/>
  <c r="L64" i="1"/>
  <c r="L63" i="1"/>
  <c r="L62" i="1"/>
  <c r="O62" i="1" s="1"/>
  <c r="L60" i="1"/>
  <c r="O60" i="1" s="1"/>
  <c r="L57" i="1"/>
  <c r="O57" i="1" s="1"/>
  <c r="O64" i="1" l="1"/>
  <c r="O63" i="1"/>
  <c r="I74" i="1"/>
  <c r="L47" i="1"/>
  <c r="L46" i="1"/>
  <c r="L45" i="1"/>
  <c r="O45" i="1" s="1"/>
  <c r="L40" i="1"/>
  <c r="L39" i="1"/>
  <c r="L38" i="1"/>
  <c r="O38" i="1" s="1"/>
  <c r="L33" i="1"/>
  <c r="O33" i="1" s="1"/>
  <c r="L32" i="1"/>
  <c r="O32" i="1" s="1"/>
  <c r="L31" i="1"/>
  <c r="O31" i="1" s="1"/>
  <c r="O74" i="1" l="1"/>
  <c r="O75" i="1"/>
  <c r="O46" i="1"/>
  <c r="O47" i="1"/>
  <c r="O39" i="1"/>
  <c r="O40" i="1"/>
  <c r="O86" i="1"/>
  <c r="O85" i="1"/>
  <c r="O232" i="1" l="1"/>
  <c r="O231" i="1"/>
  <c r="O230" i="1"/>
  <c r="L411" i="1"/>
  <c r="O411" i="1" s="1"/>
  <c r="L408" i="1"/>
  <c r="O408" i="1" s="1"/>
  <c r="L395" i="1"/>
  <c r="O395" i="1" s="1"/>
  <c r="L394" i="1"/>
  <c r="O394" i="1" s="1"/>
  <c r="L393" i="1"/>
  <c r="O393" i="1" s="1"/>
  <c r="L392" i="1"/>
  <c r="O392" i="1" s="1"/>
  <c r="L391" i="1"/>
  <c r="O391" i="1" s="1"/>
  <c r="L390" i="1"/>
  <c r="O390" i="1" s="1"/>
  <c r="L389" i="1"/>
  <c r="O389" i="1" s="1"/>
  <c r="L388" i="1"/>
  <c r="O388" i="1" s="1"/>
  <c r="L357" i="1"/>
  <c r="O357" i="1" s="1"/>
  <c r="L356" i="1"/>
  <c r="O356" i="1" s="1"/>
  <c r="L355" i="1"/>
  <c r="O355" i="1" s="1"/>
  <c r="L353" i="1"/>
  <c r="O353" i="1" s="1"/>
  <c r="L181" i="1"/>
  <c r="O181" i="1" s="1"/>
  <c r="L180" i="1"/>
  <c r="O180" i="1" s="1"/>
  <c r="L179" i="1"/>
  <c r="O179" i="1" s="1"/>
  <c r="L178" i="1"/>
  <c r="O178" i="1" s="1"/>
  <c r="L177" i="1"/>
  <c r="J282" i="1"/>
  <c r="L329" i="1"/>
  <c r="O329" i="1" s="1"/>
  <c r="L327" i="1"/>
  <c r="O327" i="1" s="1"/>
  <c r="L263" i="1"/>
  <c r="O263" i="1" s="1"/>
  <c r="L262" i="1"/>
  <c r="O262" i="1" s="1"/>
  <c r="L261" i="1"/>
  <c r="O261" i="1" s="1"/>
  <c r="L248" i="1"/>
  <c r="O248" i="1" s="1"/>
  <c r="L247" i="1"/>
  <c r="O247" i="1" s="1"/>
  <c r="L246" i="1"/>
  <c r="O246" i="1" s="1"/>
  <c r="L244" i="1"/>
  <c r="O244" i="1" s="1"/>
  <c r="L227" i="1"/>
  <c r="O227" i="1" s="1"/>
  <c r="L226" i="1"/>
  <c r="O226" i="1" s="1"/>
  <c r="L225" i="1"/>
  <c r="O225" i="1" s="1"/>
  <c r="L223" i="1"/>
  <c r="O223" i="1" s="1"/>
  <c r="L212" i="1"/>
  <c r="O212" i="1" s="1"/>
  <c r="L214" i="1"/>
  <c r="O214" i="1" s="1"/>
  <c r="L213" i="1"/>
  <c r="O213" i="1" s="1"/>
  <c r="L210" i="1"/>
  <c r="O210" i="1" s="1"/>
  <c r="J325" i="1" l="1"/>
  <c r="J176" i="1" l="1"/>
  <c r="O177" i="1" l="1"/>
  <c r="O176" i="1"/>
  <c r="J175" i="1"/>
  <c r="J415" i="1" l="1"/>
  <c r="O420" i="1" l="1"/>
  <c r="O415" i="1"/>
  <c r="O417" i="1"/>
  <c r="J414" i="1"/>
  <c r="O413" i="1" l="1"/>
  <c r="O412" i="1"/>
</calcChain>
</file>

<file path=xl/comments1.xml><?xml version="1.0" encoding="utf-8"?>
<comments xmlns="http://schemas.openxmlformats.org/spreadsheetml/2006/main">
  <authors>
    <author>annie</author>
    <author>Igor</author>
  </authors>
  <commentList>
    <comment ref="C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I49" authorId="1" shapeId="0">
      <text>
        <r>
          <rPr>
            <b/>
            <sz val="8"/>
            <color indexed="81"/>
            <rFont val="Tahoma"/>
            <family val="2"/>
            <charset val="204"/>
          </rPr>
          <t>Igor:</t>
        </r>
        <r>
          <rPr>
            <sz val="8"/>
            <color indexed="81"/>
            <rFont val="Tahoma"/>
            <family val="2"/>
            <charset val="204"/>
          </rPr>
          <t xml:space="preserve">
окна для вырезок ХЦ-0,6
холодные воронки-3,75
вырезки прохд через пол ТК-3,38</t>
        </r>
      </text>
    </comment>
    <comment ref="I183" authorId="1" shapeId="0">
      <text>
        <r>
          <rPr>
            <b/>
            <sz val="8"/>
            <color indexed="81"/>
            <rFont val="Tahoma"/>
            <family val="2"/>
            <charset val="204"/>
          </rPr>
          <t>Igor:</t>
        </r>
        <r>
          <rPr>
            <sz val="8"/>
            <color indexed="81"/>
            <rFont val="Tahoma"/>
            <family val="2"/>
            <charset val="204"/>
          </rPr>
          <t xml:space="preserve">
вх 1ст-0,8</t>
        </r>
      </text>
    </comment>
    <comment ref="I229" authorId="1" shapeId="0">
      <text>
        <r>
          <rPr>
            <b/>
            <sz val="8"/>
            <color indexed="81"/>
            <rFont val="Tahoma"/>
            <family val="2"/>
            <charset val="204"/>
          </rPr>
          <t>Igor:</t>
        </r>
        <r>
          <rPr>
            <sz val="8"/>
            <color indexed="81"/>
            <rFont val="Tahoma"/>
            <family val="2"/>
            <charset val="204"/>
          </rPr>
          <t xml:space="preserve">
вх 1ст-0,8</t>
        </r>
      </text>
    </comment>
    <comment ref="I277" authorId="1" shapeId="0">
      <text>
        <r>
          <rPr>
            <b/>
            <sz val="8"/>
            <color indexed="81"/>
            <rFont val="Tahoma"/>
            <family val="2"/>
            <charset val="204"/>
          </rPr>
          <t>Igor:</t>
        </r>
        <r>
          <rPr>
            <sz val="8"/>
            <color indexed="81"/>
            <rFont val="Tahoma"/>
            <family val="2"/>
            <charset val="204"/>
          </rPr>
          <t xml:space="preserve">
вх 1ст-0,8</t>
        </r>
      </text>
    </comment>
    <comment ref="I359" authorId="1" shapeId="0">
      <text>
        <r>
          <rPr>
            <b/>
            <sz val="8"/>
            <color indexed="81"/>
            <rFont val="Tahoma"/>
            <family val="2"/>
            <charset val="204"/>
          </rPr>
          <t>Igor:</t>
        </r>
        <r>
          <rPr>
            <sz val="8"/>
            <color indexed="81"/>
            <rFont val="Tahoma"/>
            <family val="2"/>
            <charset val="204"/>
          </rPr>
          <t xml:space="preserve">
вх 1ст-0,8</t>
        </r>
      </text>
    </comment>
  </commentList>
</comments>
</file>

<file path=xl/sharedStrings.xml><?xml version="1.0" encoding="utf-8"?>
<sst xmlns="http://schemas.openxmlformats.org/spreadsheetml/2006/main" count="1696" uniqueCount="299">
  <si>
    <t>№ п.п.</t>
  </si>
  <si>
    <t>Наименование работ</t>
  </si>
  <si>
    <t>Темп-ра теплоносителя, град.с</t>
  </si>
  <si>
    <t>Диаметр, мм</t>
  </si>
  <si>
    <t>Длина, м</t>
  </si>
  <si>
    <t>Конструкция теплоизоляции</t>
  </si>
  <si>
    <t>Покрытие</t>
  </si>
  <si>
    <t>Толщина теплоизоляции, мм</t>
  </si>
  <si>
    <t>Объём</t>
  </si>
  <si>
    <t>Необходимые материалы</t>
  </si>
  <si>
    <t>Наименование</t>
  </si>
  <si>
    <t>Кол-во на ед.</t>
  </si>
  <si>
    <t>Кол-во</t>
  </si>
  <si>
    <t>Материалы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</si>
  <si>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</si>
  <si>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</si>
  <si>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</si>
  <si>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</si>
  <si>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</si>
  <si>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</si>
  <si>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</si>
  <si>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</si>
  <si>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</si>
  <si>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</si>
  <si>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</si>
  <si>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</si>
  <si>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</si>
  <si>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</si>
  <si>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плоскость</t>
  </si>
  <si>
    <t>сетка-рабица</t>
  </si>
  <si>
    <t>м3</t>
  </si>
  <si>
    <t>кг</t>
  </si>
  <si>
    <t>Установка усиленного каркаса из металлической сетки</t>
  </si>
  <si>
    <t>м2</t>
  </si>
  <si>
    <t>Восстановление штукатурного слоя</t>
  </si>
  <si>
    <t>Леса</t>
  </si>
  <si>
    <t>т</t>
  </si>
  <si>
    <t>шамотобетон</t>
  </si>
  <si>
    <t>Снятие металлических обечаек с прямых участков трубопроводов</t>
  </si>
  <si>
    <t>350</t>
  </si>
  <si>
    <t>стеклоткань</t>
  </si>
  <si>
    <t>Снятие металлических обечаек с криволинейных  участков трубопроводов</t>
  </si>
  <si>
    <t>Изготовление и установка металлических обечаек на прямые участки трубопроводов</t>
  </si>
  <si>
    <t>Изготовление и установка металлических обечаек на криволинейные участки трубопроводов</t>
  </si>
  <si>
    <t>Замена подслоя-армированное покрытие на основе эпоксидных материалов при высоте свыше 4 м до 30 м</t>
  </si>
  <si>
    <t>250</t>
  </si>
  <si>
    <t>МКРР-130</t>
  </si>
  <si>
    <t>Очистка от золы</t>
  </si>
  <si>
    <t>900</t>
  </si>
  <si>
    <t>Снятие и установка металлической сетки</t>
  </si>
  <si>
    <t>маты м/в  прош-е</t>
  </si>
  <si>
    <t>леса</t>
  </si>
  <si>
    <t>трубопровод</t>
  </si>
  <si>
    <t>1. заполнитель шамотный</t>
  </si>
  <si>
    <t>2. заполнитель шамотный</t>
  </si>
  <si>
    <t>марки ЗШБ-0,6; *0,783*1,02</t>
  </si>
  <si>
    <t>3. глиноземистый цемент</t>
  </si>
  <si>
    <t>бетон огнеупорный:</t>
  </si>
  <si>
    <t>труб-д</t>
  </si>
  <si>
    <t>560</t>
  </si>
  <si>
    <t>Отвердитель  ПЭПА  *0,155</t>
  </si>
  <si>
    <t>Растворитель  Р-4   *0.015*2</t>
  </si>
  <si>
    <t>230</t>
  </si>
  <si>
    <t>асбест. хриз.</t>
  </si>
  <si>
    <t>Детали деревянные лесов из пиломатериалов хвойных пород ГЭСН08-07-002-01</t>
  </si>
  <si>
    <t>Подрядчик</t>
  </si>
  <si>
    <t>Детали лесов стальные, укомплектованные пробками, крючками и хомутами, окрашенные ГЭСН08-07-002-01</t>
  </si>
  <si>
    <t>Щиты настила ГЭСН08-07-002-01</t>
  </si>
  <si>
    <t>Смазка графитовая  *0,1</t>
  </si>
  <si>
    <t>Грунтовка ГФ-021    *0.126*2</t>
  </si>
  <si>
    <t xml:space="preserve">Ремонт лакокрасочного покрытия: на 2 слоя
При выполнении работ на высоте свыше 4 до 30 м </t>
  </si>
  <si>
    <t>Заказчик</t>
  </si>
  <si>
    <t xml:space="preserve">асбошнур ШАП-02 </t>
  </si>
  <si>
    <t>асбошнур ШАП-02 *525</t>
  </si>
  <si>
    <t>Нормы расхода</t>
  </si>
  <si>
    <t>Обоснование справочника</t>
  </si>
  <si>
    <t>Норма расхода</t>
  </si>
  <si>
    <t>15.</t>
  </si>
  <si>
    <t>16.</t>
  </si>
  <si>
    <t>Разборка (сгятие) изоляции матами минераловатными прошивными</t>
  </si>
  <si>
    <t>Установка изоляции матами минераловатными прошивными</t>
  </si>
  <si>
    <t>НРМ 29 п.1.2 с уч.коррект. ГЭСН-2017 п.26.3</t>
  </si>
  <si>
    <t>НРМ 29 п.2,3</t>
  </si>
  <si>
    <t>НРМ 63 п.1</t>
  </si>
  <si>
    <t>НРМ 63 п.2</t>
  </si>
  <si>
    <t>НРМ 57 п.2.3</t>
  </si>
  <si>
    <t>ГЭСН08-07-002-01</t>
  </si>
  <si>
    <t>Разборка (снятие)  изоляции матами минераловатными прошивными</t>
  </si>
  <si>
    <t>Установка  изоляции матами минераловатными прошивными</t>
  </si>
  <si>
    <t>НРМ 54 п.1.2</t>
  </si>
  <si>
    <t>НРМ 54 п.2,1</t>
  </si>
  <si>
    <t>Снятие стеклотканевого слоя</t>
  </si>
  <si>
    <t xml:space="preserve"> Разборка (снятие) тепловой изоляции асбопуховым шнуром</t>
  </si>
  <si>
    <t>Установка  тепловой изоляции асбопуховым шнуром</t>
  </si>
  <si>
    <t>Восстановление стеклоткани</t>
  </si>
  <si>
    <t>НРМ 44 п.1.3.1</t>
  </si>
  <si>
    <t>НРМ 44 п.1.3.2</t>
  </si>
  <si>
    <t>НРМ 59 п.1.2</t>
  </si>
  <si>
    <t xml:space="preserve">ГЭСН 26-01-052-01 </t>
  </si>
  <si>
    <t>Разборка ( снятие) обмуровки</t>
  </si>
  <si>
    <t>Установка обмуровки</t>
  </si>
  <si>
    <t>ВСН34 26.08091 02902</t>
  </si>
  <si>
    <t>ВСН34 26.08091 00704</t>
  </si>
  <si>
    <t>ВСН34 26.08091 02903</t>
  </si>
  <si>
    <t>ВСН34 26.08091 02901</t>
  </si>
  <si>
    <t>ГЦ-40; *0,308*1,02</t>
  </si>
  <si>
    <t>НРМ 24 и 27 п.1.2 с уч.коррект. ГЭСН-2017 п.26.3</t>
  </si>
  <si>
    <t>НРМ 24 и 27 п.2,3</t>
  </si>
  <si>
    <t>НРМ 54 п.2.1</t>
  </si>
  <si>
    <t>НРМ 55 п.1.2</t>
  </si>
  <si>
    <t>НРМ 55 п.2.1</t>
  </si>
  <si>
    <t>НРМ 125 п.1</t>
  </si>
  <si>
    <t>НРМ 125 п.2</t>
  </si>
  <si>
    <t>НРМ 125 п.3</t>
  </si>
  <si>
    <t>НРМ 125 п.4</t>
  </si>
  <si>
    <t>НРМ 125 п.5</t>
  </si>
  <si>
    <t>НРМ 125 п.6</t>
  </si>
  <si>
    <t>НРМ 26 п.1</t>
  </si>
  <si>
    <t>НРМ 26 п.2</t>
  </si>
  <si>
    <t>Эпоксидная смола ЭД-20 *1,53/1000</t>
  </si>
  <si>
    <t>Дибутилфталат технич., сорт 1 *0,19/1000</t>
  </si>
  <si>
    <t>Ацетон технич.  *0,3/1000</t>
  </si>
  <si>
    <t>Установка каолиновым волокном  теплоизоляции в местах  установки крючьев</t>
  </si>
  <si>
    <t>Разборка (снятие) каолиновым волокном  теплоизоляции в местах  установки крючьев</t>
  </si>
  <si>
    <t>ВСН34 26.08091 01903</t>
  </si>
  <si>
    <t>Разборка (снятие) каолиновым волокном  теплоизоляции в местах  износа до металла</t>
  </si>
  <si>
    <t>т/м2</t>
  </si>
  <si>
    <t>асбест. штук.</t>
  </si>
  <si>
    <t>Нормы расхода материала в соответствии с ГЭСН08-07-002-01</t>
  </si>
  <si>
    <t>Разборка (снятие) изоляции матами МКРР-130</t>
  </si>
  <si>
    <t>Установка  изоляции матами типа МКРР-130</t>
  </si>
  <si>
    <t>МКРР-130 *1,19*130</t>
  </si>
  <si>
    <t>заказчик</t>
  </si>
  <si>
    <t>НРМ 30  п.2,3</t>
  </si>
  <si>
    <t>Разборка (снятие) изоляции матами минераловатными прошивными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</si>
  <si>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</si>
  <si>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</si>
  <si>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Восстановление стеклотканего слоя</t>
  </si>
  <si>
    <t>НРМ 55п.1.2</t>
  </si>
  <si>
    <t>НРМ 55 п.2,1</t>
  </si>
  <si>
    <t>Детали лесов стальные ГЭСН08-07-002-01</t>
  </si>
  <si>
    <t xml:space="preserve">Регламент от 11.10.2017г. №608:  ячейка 2*2*4  (0,473т) - 4 места </t>
  </si>
  <si>
    <t>660</t>
  </si>
  <si>
    <t xml:space="preserve">Регламент от 11.10.2017г. №608:  ячейка 2*2*4  (0,473т) - 2 мест </t>
  </si>
  <si>
    <t xml:space="preserve">Регламент от 11.10.2017г. №608:  ячейка 2*2*4  (0,473т) - 4 мест </t>
  </si>
  <si>
    <t>Разборка (снятие) обмуровки шамотобетоном</t>
  </si>
  <si>
    <t>Установка обмуровки шамотобетоном</t>
  </si>
  <si>
    <t>бетон огнеупорный*1,02:</t>
  </si>
  <si>
    <t>3. глиноземистый цемент ГЦ-40; *0,308*1,02</t>
  </si>
  <si>
    <t xml:space="preserve">Регламент от 11.10.2017г. №608:  ячейка 2*2*4  (0,473т) - 8 мест </t>
  </si>
  <si>
    <t>НРМ 22 и 27 п.1.2 с уч.коррект. ГЭСН-2017 п.26.3</t>
  </si>
  <si>
    <t>НРМ 29п.2,3</t>
  </si>
  <si>
    <t>асбест.штук.</t>
  </si>
  <si>
    <t>Снятие сетки сварной</t>
  </si>
  <si>
    <t>Установка сетки сварной</t>
  </si>
  <si>
    <t>Разборка (снятие) обмуровки</t>
  </si>
  <si>
    <t>Разборка обмур-ки (шам-й кирпич)</t>
  </si>
  <si>
    <t>Установка обмур-ки (шам-й кирпич)</t>
  </si>
  <si>
    <t>кирп. норм. шам. 1/2</t>
  </si>
  <si>
    <t>230*114*65</t>
  </si>
  <si>
    <t>ВСН34 26.08091 00104</t>
  </si>
  <si>
    <t>кирп. норм. шам. *2,097</t>
  </si>
  <si>
    <t>раствор для кирпича:</t>
  </si>
  <si>
    <t xml:space="preserve">1. Порошок шам-й марки </t>
  </si>
  <si>
    <t>ВСН34 26.08091 03102</t>
  </si>
  <si>
    <t xml:space="preserve"> ЗШБ-04; *0,083*0,913</t>
  </si>
  <si>
    <t>2. глина огнеупорная</t>
  </si>
  <si>
    <t>ВСН34 26.08091 03103</t>
  </si>
  <si>
    <t>*0,083*0,532</t>
  </si>
  <si>
    <t>Разборка обмур-ки (шамотобетон)</t>
  </si>
  <si>
    <t>Установка обмур-ки (шамотобетон)</t>
  </si>
  <si>
    <t>бетон огнеупорный: *1,02</t>
  </si>
  <si>
    <t xml:space="preserve">Регламент от 11.10.2017г. №608:  ячейка 2*2*2  (0,473т) - 3 мест </t>
  </si>
  <si>
    <t>200</t>
  </si>
  <si>
    <t>13</t>
  </si>
  <si>
    <t>14</t>
  </si>
  <si>
    <t>2,94 т/              27,04 м2</t>
  </si>
  <si>
    <t xml:space="preserve">Леса. </t>
  </si>
  <si>
    <t xml:space="preserve">Устройство и разборка лесов (4 места-2*2*8) (Регламент от 11.10.2017г. №608 с изм от 15.08.18 Пр.№400: 4 ячейки 2*2*8м  (0,736т*4 шт, 27,04 м2 горизонтальной поверхности) </t>
  </si>
  <si>
    <t>асбошнур ШАП-02</t>
  </si>
  <si>
    <t>т /м2</t>
  </si>
  <si>
    <t>3,784 т/ 54,08 м2</t>
  </si>
  <si>
    <t>2*2*2  (0,473т) - 4 мест</t>
  </si>
  <si>
    <t xml:space="preserve">Устройство и разборка лесов  (Регламент от 11.10.2017г. №608 с изм от 15.08.18 Пр.№400: 4 ячейки 2*2*2м  (0,342т*4шт, 27,04 м2 горизонтальной поверхности) </t>
  </si>
  <si>
    <t>1,368 т /27,04 м2</t>
  </si>
  <si>
    <t>1,026 т /20,28 м2</t>
  </si>
  <si>
    <t>Установка обмуровки из бетона огнеупорного</t>
  </si>
  <si>
    <t>Повторное использование</t>
  </si>
  <si>
    <t>Установка каолиновым волокном теплоизоляции в местах износа до металла</t>
  </si>
  <si>
    <r>
      <t>Необогреваемые трубопроводы в пределах котла до 450</t>
    </r>
    <r>
      <rPr>
        <b/>
        <sz val="10"/>
        <rFont val="Calibri"/>
        <family val="2"/>
        <charset val="204"/>
      </rPr>
      <t>°</t>
    </r>
    <r>
      <rPr>
        <b/>
        <sz val="10"/>
        <rFont val="Times New Roman"/>
        <family val="1"/>
        <charset val="204"/>
      </rPr>
      <t>С</t>
    </r>
  </si>
  <si>
    <r>
      <t xml:space="preserve">Устройство и разборка лесов  </t>
    </r>
    <r>
      <rPr>
        <sz val="10"/>
        <rFont val="Times New Roman"/>
        <family val="1"/>
        <charset val="204"/>
      </rPr>
      <t xml:space="preserve"> (Регламент от 11.10.2017г. №608 с изм от 15.08.18 Пр.№400: 4 ячейки 2*2*8м  (0,736т*4 шт, 27,04 м2 горизонтальной поверхности) </t>
    </r>
  </si>
  <si>
    <t xml:space="preserve">Устройство и разборка лесов (Регламент от 11.10.2017г. №608 с изм от 15.08.18 Пр.№400: 8 мест 2*2*4м  (0,473т*8шт, 54,08 м2 горизонтальной поверхности) </t>
  </si>
  <si>
    <t xml:space="preserve">Устройство и разборка лесов (4 места-2*8*2)(Регламент от 11.10.2017г. №608 с изм от 15.08.18 Пр.№400: 4 ячейки 2*8м*2м (1,097т*4 шт, 27,04 м2 горизонтальной поверхности) </t>
  </si>
  <si>
    <t>2,6*8,6</t>
  </si>
  <si>
    <t>Мертель шамотный МШ 28 ; *0,783*1,02</t>
  </si>
  <si>
    <t>Асбест хризотиловый марки 6-30 ГОСТ 12871-2013 *0,018</t>
  </si>
  <si>
    <t xml:space="preserve">Устройство и разборка лесов (Регламент от 11.10.2017г. №608 с изм от 15.08.18 Пр.№400: 3 ячейки 2*2*2м  (0,342т*3шт, 20,28 м2 горизонтальной поверхности) </t>
  </si>
  <si>
    <t>Портландцемент марки 400 (ГОСТ 10178-85) *0,0052</t>
  </si>
  <si>
    <t>Винты самонарезающие оцинк 4-12 мм</t>
  </si>
  <si>
    <t>Сталь листовая оцинкованная толщиной листа 0,55 мм</t>
  </si>
  <si>
    <t>Проволока 1,2 мм ГОСТ 3282-74</t>
  </si>
  <si>
    <t>Маты минераловатные прошивные  МП-100 ГОСТ 21880-2011 (толщина 80 мм)</t>
  </si>
  <si>
    <t>Ткань стеклянная конструкционная марки Т-11</t>
  </si>
  <si>
    <r>
      <t xml:space="preserve">3,784 т/                        </t>
    </r>
    <r>
      <rPr>
        <sz val="10"/>
        <color rgb="FFFF0000"/>
        <rFont val="Times New Roman"/>
        <family val="1"/>
        <charset val="204"/>
      </rPr>
      <t xml:space="preserve">   </t>
    </r>
    <r>
      <rPr>
        <sz val="10"/>
        <rFont val="Times New Roman"/>
        <family val="1"/>
        <charset val="204"/>
      </rPr>
      <t>54,08м2</t>
    </r>
  </si>
  <si>
    <t xml:space="preserve">Устройство и разборка лесов (Регламент от 11.10.2017г. №608 с изм от 15.08.18 Пр.№400: 2 ячейки 2*4*4м  (0,813т*2шт, 13,52 м2 горизонтальной поверхности) </t>
  </si>
  <si>
    <t>1,626 т/             13,52 м2</t>
  </si>
  <si>
    <t xml:space="preserve">Устройство и разборка лесов (Регламент от 11.10.2017г. №608 с изм от 15.08.18 Пр.№400: 4 ячейки 2*2*6м  (0,605т*4шт, 27,04 м2 горизонтальной поверхности) </t>
  </si>
  <si>
    <t>2,420 т/ 27,04 м2</t>
  </si>
  <si>
    <t>МКРР-130 ( *130*1,19)</t>
  </si>
  <si>
    <t>Проволока ст. низкоугл. диам. 6,0 мм</t>
  </si>
  <si>
    <r>
      <t>4,39 т/              27,04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м2</t>
    </r>
  </si>
  <si>
    <t xml:space="preserve">Сборка и разборка деревянных настилов под барабаном ( отм+47,3 2,6*18,6 м по горизонт.поверхности)) </t>
  </si>
  <si>
    <t>Маты минераловатные прошивные  МП-100 ГОСТ 21880-2011 (толщина 100 мм)</t>
  </si>
  <si>
    <t>Оцинков. сталь 0,55 мм</t>
  </si>
  <si>
    <t>20</t>
  </si>
  <si>
    <t>Разборка (снятие) обмуровки из бетона огнеупорного</t>
  </si>
  <si>
    <t>Раздел №2. Штуцера водоопускных труб</t>
  </si>
  <si>
    <t>Раздел №3. Штуцера  пароотводящих труб</t>
  </si>
  <si>
    <t>Раздел №4. Штуцера пароотводящих труб</t>
  </si>
  <si>
    <t>Раздел №6. ПСК</t>
  </si>
  <si>
    <t>Раздел №7. Продувка пароперегревателя (ф76*10 мм)</t>
  </si>
  <si>
    <t>Сетка рабица 25х25х1,2 мм. ГОСТ 5336-80</t>
  </si>
  <si>
    <t>Сетка рабица 20х25х1,2 мм. ГОСТ 5336-80</t>
  </si>
  <si>
    <t xml:space="preserve">Раздел №12. Пароотводящие трубы из соленого экрана в циклон. Пароперепускные трубы  из барабана в п\п 1 ст. </t>
  </si>
  <si>
    <t>Раздел №13. Пароперепускные трубы с  камер горизонтального газохода на смешивающие камеры. Со смешивающих камер до коллекторов фронтовой стенки поворотного газохода.</t>
  </si>
  <si>
    <t>Раздел №14. Леса</t>
  </si>
  <si>
    <t>12</t>
  </si>
  <si>
    <t xml:space="preserve"> Раздел №17. Дренажи, воздушники, узел температурного контроля, импульсные линии</t>
  </si>
  <si>
    <t>Раздел №18. Выносные циклоны, слева, справа</t>
  </si>
  <si>
    <t>27</t>
  </si>
  <si>
    <t>Раздел №29. Амбразуры горелок 12 шт. внутри</t>
  </si>
  <si>
    <t>Раздел 31.  Леса</t>
  </si>
  <si>
    <t>Раздел 33.  Леса</t>
  </si>
  <si>
    <t>Раздел 36. Трубопровод растопочного впрыска</t>
  </si>
  <si>
    <t xml:space="preserve"> Раздел 38. Узел впрысков собственного конденсата отм. 12м.</t>
  </si>
  <si>
    <t xml:space="preserve"> Раздел 41. Питательный трубопровод (СУП)</t>
  </si>
  <si>
    <t>Раздел 45. Леса</t>
  </si>
  <si>
    <t>Раздел 47. Электрофильтр</t>
  </si>
  <si>
    <t>Норма расхода из ведомственных производственных норм расхода материалов на обмуровочные работы!</t>
  </si>
  <si>
    <t>НРМ 30 п.1.</t>
  </si>
  <si>
    <t>Сетка стальная сварная</t>
  </si>
  <si>
    <t>сетка сварная 50*50, диам.4,0 мм</t>
  </si>
  <si>
    <t xml:space="preserve">Сетка стальная сварная </t>
  </si>
  <si>
    <r>
      <t>Устройство и разборка лесов  (Регламент от 11.10.2017г. №608 с изм от 15.08.18 Пр.№400:8 ячейки 2*2*4м  (0,473т*8 шт,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54,08 м2 горизонтальной поверхности) </t>
    </r>
  </si>
  <si>
    <t>Разборка (снятие) тепловой изоляции асбопуховым шнуром</t>
  </si>
  <si>
    <t xml:space="preserve"> Установка тепловой изоляции асбопуховым шнуром</t>
  </si>
  <si>
    <t xml:space="preserve">Раздел №1.     Барабан отм. 47,3 м  </t>
  </si>
  <si>
    <t>Раздел №4. Леса</t>
  </si>
  <si>
    <t>Раздел №5 Продувка пароперегревателя (ф133*16 мм)</t>
  </si>
  <si>
    <t>Раздел №6 Пароперепускные трубы с п\п 4 ст. в ПСК и от ПСК к ГПК (ф159*20 мм)</t>
  </si>
  <si>
    <t>Раздел №7. Камеры ГПК (ф273*45 мм)</t>
  </si>
  <si>
    <t xml:space="preserve"> Раздел №8. Дренажи, воздушники ПСК и ГПК</t>
  </si>
  <si>
    <t xml:space="preserve">Раздел №9. Конденсаторы слева,справа   </t>
  </si>
  <si>
    <t>Раздел №10. Подводящий трубопровод к конденсаторам</t>
  </si>
  <si>
    <t>Раздел №11. Водоопускные трубопроводы с барабана</t>
  </si>
  <si>
    <t xml:space="preserve">Раздел №12. Леса </t>
  </si>
  <si>
    <t xml:space="preserve"> Раздел №13. Труб-ды в местах прохода через пол в тепл. камере (внутри)</t>
  </si>
  <si>
    <t xml:space="preserve"> Раздел №14. Потолок теплой камеры (внутри)</t>
  </si>
  <si>
    <t>Раздел №15. Топка отм.3-39м</t>
  </si>
  <si>
    <t>Раздел №16. Леса</t>
  </si>
  <si>
    <t>Раздел №17. ВЭК 1, 2 ст. отм. 30-40</t>
  </si>
  <si>
    <t>Раздел №18. Леса</t>
  </si>
  <si>
    <t>Раздел №19. Трубопроводы ВЭК</t>
  </si>
  <si>
    <t>Раздел №20. Горелки  (12шт.)</t>
  </si>
  <si>
    <t>Раздел №21 .Короба первичного и вторичного воздуха</t>
  </si>
  <si>
    <t>Раздел 22. Газовоздухопроводы и шибера</t>
  </si>
  <si>
    <t>Раздел 23. Амбразуры обдувочных аппаратов топки</t>
  </si>
  <si>
    <t>Раздел 24. Люки, лазы, гляделки, двери тепловой камеры</t>
  </si>
  <si>
    <t>Раздел 25. Трубопровод непрерывной и периодической продувки</t>
  </si>
  <si>
    <t xml:space="preserve"> Раздел 26. Паромазутопроводы к горелкам </t>
  </si>
  <si>
    <t xml:space="preserve"> Раздел 27. Питательный трубопровод (СУП)</t>
  </si>
  <si>
    <t xml:space="preserve"> Раздел 28. Нижние коллектора топки</t>
  </si>
  <si>
    <t xml:space="preserve"> Раздел 29. Леса</t>
  </si>
  <si>
    <t>Раздел 30. Шлак-ые бункера А,Б,В  (внутри)</t>
  </si>
  <si>
    <t>Раздел 31. Ремонт оклейки котла: топки, ВЭК, СУП, барабана, горелки, короба втор.воздуха</t>
  </si>
  <si>
    <t>Раздел 32. Очистка от золы газозаборных шахт котлоагрегата № 7</t>
  </si>
  <si>
    <t>Инв.№</t>
  </si>
  <si>
    <t>Объект: котлоагрегат ст. № 7</t>
  </si>
  <si>
    <t xml:space="preserve">NIT51HAE33AC010KC01 Ремонт тепловой изоляции газозаборных шахт </t>
  </si>
  <si>
    <t>ИЭ1714270018</t>
  </si>
  <si>
    <r>
      <t>Условия производства работ:</t>
    </r>
    <r>
      <rPr>
        <sz val="11"/>
        <rFont val="Times New Roman"/>
        <family val="1"/>
        <charset val="204"/>
      </rPr>
      <t xml:space="preserve"> </t>
    </r>
  </si>
  <si>
    <r>
      <t xml:space="preserve">Вредность   6%    </t>
    </r>
    <r>
      <rPr>
        <u/>
        <sz val="11"/>
        <rFont val="Times New Roman"/>
        <family val="1"/>
        <charset val="204"/>
      </rPr>
      <t>1,0128 (коэффициент доплат к стоимости работ согласно общих частей Справочника)</t>
    </r>
  </si>
  <si>
    <t>Начальник СМУ ООО "БЭК-ремонт"</t>
  </si>
  <si>
    <t>Е.В.Герасимов</t>
  </si>
  <si>
    <t>"СОГЛАСОВАНО"</t>
  </si>
  <si>
    <t>"УТВЕРЖДАЮ"</t>
  </si>
  <si>
    <t>ООО "БЭК-ремонт"</t>
  </si>
  <si>
    <t xml:space="preserve"> </t>
  </si>
  <si>
    <t>" _____ " ________________ 2021г.</t>
  </si>
  <si>
    <t>"___" _______________2021г.</t>
  </si>
  <si>
    <t xml:space="preserve">на:  Дополнительные работы по ремонту тепловой изоляции котлоагрегата ст. №7 </t>
  </si>
  <si>
    <t>ВСН34 26.08091 00705</t>
  </si>
  <si>
    <t>Ведомость объемов работ  (дефектная ведомость) №13-ТИ-КЦ-21-СП</t>
  </si>
  <si>
    <t>Субподрядчик</t>
  </si>
  <si>
    <t>Генподрядчик</t>
  </si>
  <si>
    <t>Приложение №2 к заявке №13-ТИ-КЦ-21-СП к договору №</t>
  </si>
  <si>
    <t>_________________</t>
  </si>
  <si>
    <t>Директор по производству-главный инженер</t>
  </si>
  <si>
    <t>К.С. Галянт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</si>
</sst>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0.000"/>
    <numFmt numFmtId="166" formatCode="0.0"/>
    <numFmt numFmtId="167" formatCode="0.0000"/>
    <numFmt numFmtId="168" formatCode="#,##0.00_р_."/>
    <numFmt numFmtId="169" formatCode="_-* #,##0_р_._-;\-* #,##0_р_._-;_-* &quot;-&quot;??_р_._-;_-@_-"/>
    <numFmt numFmtId="170" formatCode="#,##0.000"/>
    <numFmt numFmtId="171" formatCode="0.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3" fillId="0" borderId="0">
      <alignment horizontal="right" vertical="top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1">
      <alignment horizontal="center" wrapText="1"/>
    </xf>
    <xf numFmtId="0" fontId="2" fillId="0" borderId="0">
      <alignment vertical="top"/>
    </xf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2" fontId="15" fillId="0" borderId="0">
      <alignment horizontal="left" vertical="top"/>
    </xf>
    <xf numFmtId="0" fontId="14" fillId="0" borderId="0"/>
  </cellStyleXfs>
  <cellXfs count="631">
    <xf numFmtId="0" fontId="0" fillId="0" borderId="0" xfId="0"/>
    <xf numFmtId="0" fontId="4" fillId="2" borderId="0" xfId="0" applyFont="1" applyFill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top" wrapText="1"/>
    </xf>
    <xf numFmtId="1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top"/>
    </xf>
    <xf numFmtId="2" fontId="4" fillId="2" borderId="0" xfId="0" applyNumberFormat="1" applyFont="1" applyFill="1" applyBorder="1" applyAlignment="1">
      <alignment horizontal="center" vertical="top"/>
    </xf>
    <xf numFmtId="166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169" fontId="4" fillId="2" borderId="0" xfId="20" applyNumberFormat="1" applyFont="1" applyFill="1" applyBorder="1" applyAlignment="1">
      <alignment vertical="top"/>
    </xf>
    <xf numFmtId="166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4" fillId="0" borderId="0" xfId="0" applyFont="1" applyFill="1"/>
    <xf numFmtId="0" fontId="4" fillId="2" borderId="0" xfId="0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top"/>
    </xf>
    <xf numFmtId="168" fontId="4" fillId="0" borderId="0" xfId="5" applyNumberFormat="1" applyFont="1" applyBorder="1">
      <alignment horizontal="right" vertical="top" wrapText="1"/>
    </xf>
    <xf numFmtId="0" fontId="3" fillId="0" borderId="1" xfId="0" applyFont="1" applyFill="1" applyBorder="1" applyAlignment="1">
      <alignment horizontal="left"/>
    </xf>
    <xf numFmtId="166" fontId="3" fillId="0" borderId="3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7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2" fontId="3" fillId="0" borderId="3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wrapText="1"/>
    </xf>
    <xf numFmtId="167" fontId="3" fillId="0" borderId="3" xfId="0" applyNumberFormat="1" applyFont="1" applyFill="1" applyBorder="1" applyAlignment="1">
      <alignment horizontal="center"/>
    </xf>
    <xf numFmtId="0" fontId="0" fillId="0" borderId="17" xfId="0" applyFont="1" applyFill="1" applyBorder="1" applyAlignment="1"/>
    <xf numFmtId="0" fontId="3" fillId="0" borderId="3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171" fontId="3" fillId="0" borderId="1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/>
    </xf>
    <xf numFmtId="0" fontId="4" fillId="2" borderId="17" xfId="0" applyFont="1" applyFill="1" applyBorder="1"/>
    <xf numFmtId="2" fontId="3" fillId="2" borderId="1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center"/>
    </xf>
    <xf numFmtId="1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vertical="center" wrapText="1"/>
    </xf>
    <xf numFmtId="165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16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0" fontId="0" fillId="0" borderId="0" xfId="0" applyFill="1" applyBorder="1" applyAlignment="1"/>
    <xf numFmtId="167" fontId="12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4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3" fillId="0" borderId="6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0" fontId="3" fillId="2" borderId="3" xfId="0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7" fillId="4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/>
    </xf>
    <xf numFmtId="170" fontId="3" fillId="0" borderId="1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7" fontId="3" fillId="2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0" fillId="0" borderId="1" xfId="0" applyFont="1" applyFill="1" applyBorder="1"/>
    <xf numFmtId="0" fontId="9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2" fontId="3" fillId="0" borderId="6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/>
    </xf>
    <xf numFmtId="2" fontId="0" fillId="0" borderId="10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2" fontId="0" fillId="0" borderId="7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/>
    </xf>
    <xf numFmtId="167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5" fillId="5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7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2" fontId="0" fillId="0" borderId="1" xfId="0" applyNumberFormat="1" applyFont="1" applyFill="1" applyBorder="1" applyAlignment="1">
      <alignment vertical="center" wrapText="1"/>
    </xf>
    <xf numFmtId="166" fontId="0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0" xfId="0" applyFont="1" applyFill="1" applyAlignment="1">
      <alignment vertical="top"/>
    </xf>
    <xf numFmtId="166" fontId="3" fillId="0" borderId="3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0" fillId="0" borderId="3" xfId="0" applyFont="1" applyFill="1" applyBorder="1"/>
    <xf numFmtId="0" fontId="0" fillId="0" borderId="1" xfId="0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vertical="top"/>
    </xf>
    <xf numFmtId="167" fontId="3" fillId="0" borderId="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7" fillId="2" borderId="0" xfId="0" applyFont="1" applyFill="1"/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 vertical="center"/>
    </xf>
    <xf numFmtId="0" fontId="17" fillId="3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/>
    </xf>
    <xf numFmtId="0" fontId="4" fillId="0" borderId="1" xfId="12" applyNumberFormat="1" applyFont="1" applyFill="1" applyBorder="1" applyAlignment="1">
      <alignment horizontal="justify" vertical="center" wrapText="1"/>
    </xf>
    <xf numFmtId="0" fontId="4" fillId="0" borderId="1" xfId="12" applyNumberFormat="1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/>
    <xf numFmtId="165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8" fillId="2" borderId="0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23" fillId="2" borderId="7" xfId="0" applyNumberFormat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/>
    </xf>
    <xf numFmtId="0" fontId="23" fillId="2" borderId="7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top"/>
    </xf>
    <xf numFmtId="1" fontId="3" fillId="2" borderId="7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top"/>
    </xf>
    <xf numFmtId="0" fontId="3" fillId="2" borderId="21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2" borderId="6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" fontId="3" fillId="0" borderId="10" xfId="0" applyNumberFormat="1" applyFont="1" applyFill="1" applyBorder="1" applyAlignment="1">
      <alignment horizontal="center"/>
    </xf>
    <xf numFmtId="0" fontId="9" fillId="2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3" fillId="2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10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wrapText="1"/>
    </xf>
    <xf numFmtId="0" fontId="3" fillId="2" borderId="18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center"/>
    </xf>
    <xf numFmtId="0" fontId="9" fillId="2" borderId="10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0" fontId="3" fillId="0" borderId="17" xfId="0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24" fillId="2" borderId="0" xfId="0" applyFont="1" applyFill="1" applyAlignment="1"/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25" fillId="2" borderId="0" xfId="0" applyFont="1" applyFill="1" applyAlignment="1">
      <alignment horizontal="center"/>
    </xf>
    <xf numFmtId="0" fontId="25" fillId="2" borderId="0" xfId="0" applyFont="1" applyFill="1" applyBorder="1" applyAlignment="1">
      <alignment horizontal="left" vertical="justify"/>
    </xf>
    <xf numFmtId="0" fontId="12" fillId="2" borderId="2" xfId="0" applyFont="1" applyFill="1" applyBorder="1" applyAlignment="1">
      <alignment horizontal="center" vertical="top"/>
    </xf>
    <xf numFmtId="0" fontId="12" fillId="2" borderId="0" xfId="0" applyFont="1" applyFill="1" applyAlignment="1">
      <alignment vertical="top"/>
    </xf>
    <xf numFmtId="0" fontId="30" fillId="0" borderId="0" xfId="0" applyFont="1" applyFill="1"/>
    <xf numFmtId="0" fontId="31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center" vertical="top"/>
    </xf>
    <xf numFmtId="0" fontId="24" fillId="2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165" fontId="3" fillId="2" borderId="0" xfId="0" applyNumberFormat="1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left"/>
    </xf>
    <xf numFmtId="0" fontId="25" fillId="2" borderId="0" xfId="0" applyFont="1" applyFill="1" applyAlignment="1">
      <alignment horizontal="center" vertical="top"/>
    </xf>
    <xf numFmtId="0" fontId="25" fillId="2" borderId="0" xfId="0" applyFont="1" applyFill="1" applyAlignment="1">
      <alignment vertical="top" wrapText="1"/>
    </xf>
    <xf numFmtId="0" fontId="25" fillId="2" borderId="0" xfId="0" applyFont="1" applyFill="1" applyBorder="1" applyAlignment="1">
      <alignment horizontal="left" vertical="top"/>
    </xf>
    <xf numFmtId="0" fontId="25" fillId="2" borderId="0" xfId="0" applyFont="1" applyFill="1" applyBorder="1" applyAlignment="1">
      <alignment horizontal="center" vertical="top"/>
    </xf>
    <xf numFmtId="1" fontId="25" fillId="2" borderId="0" xfId="0" applyNumberFormat="1" applyFont="1" applyFill="1" applyBorder="1" applyAlignment="1">
      <alignment horizontal="center" vertical="top"/>
    </xf>
    <xf numFmtId="0" fontId="25" fillId="2" borderId="0" xfId="0" applyFont="1" applyFill="1" applyBorder="1" applyAlignment="1">
      <alignment vertical="top" wrapText="1"/>
    </xf>
    <xf numFmtId="0" fontId="27" fillId="2" borderId="0" xfId="0" applyFont="1" applyFill="1"/>
    <xf numFmtId="0" fontId="25" fillId="2" borderId="0" xfId="0" applyFont="1" applyFill="1" applyBorder="1"/>
    <xf numFmtId="49" fontId="25" fillId="2" borderId="0" xfId="0" applyNumberFormat="1" applyFont="1" applyFill="1" applyBorder="1"/>
    <xf numFmtId="0" fontId="25" fillId="2" borderId="0" xfId="0" applyFont="1" applyFill="1" applyAlignment="1">
      <alignment horizontal="right"/>
    </xf>
    <xf numFmtId="0" fontId="25" fillId="2" borderId="0" xfId="17" applyFont="1" applyFill="1" applyBorder="1" applyAlignment="1">
      <alignment horizontal="left"/>
    </xf>
    <xf numFmtId="0" fontId="24" fillId="2" borderId="0" xfId="0" applyFont="1" applyFill="1" applyAlignment="1">
      <alignment horizontal="right"/>
    </xf>
    <xf numFmtId="0" fontId="25" fillId="2" borderId="0" xfId="0" applyFont="1" applyFill="1" applyBorder="1" applyAlignment="1">
      <alignment horizontal="left"/>
    </xf>
    <xf numFmtId="0" fontId="28" fillId="2" borderId="0" xfId="0" applyFont="1" applyFill="1"/>
    <xf numFmtId="0" fontId="29" fillId="2" borderId="0" xfId="0" applyFont="1" applyFill="1" applyBorder="1"/>
    <xf numFmtId="0" fontId="25" fillId="2" borderId="0" xfId="0" applyNumberFormat="1" applyFont="1" applyFill="1" applyBorder="1" applyAlignment="1">
      <alignment horizontal="left" vertical="top"/>
    </xf>
    <xf numFmtId="0" fontId="28" fillId="2" borderId="0" xfId="0" applyFont="1" applyFill="1" applyBorder="1"/>
    <xf numFmtId="0" fontId="24" fillId="2" borderId="0" xfId="0" applyFont="1" applyFill="1" applyAlignment="1">
      <alignment horizontal="center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right"/>
    </xf>
    <xf numFmtId="0" fontId="25" fillId="2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23" fillId="2" borderId="6" xfId="0" applyNumberFormat="1" applyFont="1" applyFill="1" applyBorder="1" applyAlignment="1">
      <alignment horizontal="left" vertical="center" wrapText="1"/>
    </xf>
    <xf numFmtId="0" fontId="23" fillId="2" borderId="7" xfId="0" applyNumberFormat="1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left"/>
    </xf>
    <xf numFmtId="0" fontId="25" fillId="2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1" xfId="0" applyFont="1" applyFill="1" applyBorder="1" applyAlignment="1">
      <alignment wrapText="1" shrinkToFit="1"/>
    </xf>
    <xf numFmtId="49" fontId="3" fillId="0" borderId="6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166" fontId="2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wrapText="1" shrinkToFit="1"/>
    </xf>
    <xf numFmtId="0" fontId="3" fillId="2" borderId="7" xfId="0" applyFont="1" applyFill="1" applyBorder="1" applyAlignment="1">
      <alignment horizontal="left" wrapText="1" shrinkToFi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66" fontId="3" fillId="2" borderId="6" xfId="0" applyNumberFormat="1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6" fontId="3" fillId="2" borderId="6" xfId="0" applyNumberFormat="1" applyFont="1" applyFill="1" applyBorder="1" applyAlignment="1">
      <alignment horizontal="center" vertical="center"/>
    </xf>
    <xf numFmtId="166" fontId="3" fillId="2" borderId="7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49" fontId="3" fillId="0" borderId="14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/>
    </xf>
    <xf numFmtId="166" fontId="3" fillId="0" borderId="7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7" xfId="0" applyFont="1" applyFill="1" applyBorder="1" applyAlignment="1"/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3" fillId="0" borderId="3" xfId="0" applyFont="1" applyFill="1" applyBorder="1"/>
    <xf numFmtId="0" fontId="3" fillId="0" borderId="4" xfId="0" applyFont="1" applyFill="1" applyBorder="1"/>
    <xf numFmtId="0" fontId="13" fillId="2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4" xfId="0" applyFont="1" applyFill="1" applyBorder="1"/>
    <xf numFmtId="0" fontId="9" fillId="0" borderId="3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49" fontId="3" fillId="2" borderId="6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166" fontId="3" fillId="0" borderId="6" xfId="0" applyNumberFormat="1" applyFont="1" applyFill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wrapText="1"/>
    </xf>
    <xf numFmtId="49" fontId="3" fillId="2" borderId="14" xfId="0" applyNumberFormat="1" applyFont="1" applyFill="1" applyBorder="1" applyAlignment="1">
      <alignment horizontal="center" vertic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0" fillId="0" borderId="0" xfId="0" applyFill="1" applyBorder="1" applyAlignment="1"/>
    <xf numFmtId="0" fontId="12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center" vertical="top"/>
    </xf>
    <xf numFmtId="0" fontId="3" fillId="0" borderId="21" xfId="0" applyFont="1" applyFill="1" applyBorder="1" applyAlignment="1">
      <alignment horizontal="center" vertical="top"/>
    </xf>
    <xf numFmtId="0" fontId="3" fillId="0" borderId="19" xfId="0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10" xfId="0" applyNumberFormat="1" applyFont="1" applyFill="1" applyBorder="1" applyAlignment="1">
      <alignment horizontal="center" vertical="top"/>
    </xf>
    <xf numFmtId="166" fontId="3" fillId="0" borderId="7" xfId="0" applyNumberFormat="1" applyFont="1" applyFill="1" applyBorder="1" applyAlignment="1">
      <alignment horizontal="center" vertical="top"/>
    </xf>
    <xf numFmtId="0" fontId="0" fillId="2" borderId="10" xfId="0" applyFont="1" applyFill="1" applyBorder="1" applyAlignment="1"/>
    <xf numFmtId="0" fontId="9" fillId="0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9" xfId="0" applyNumberFormat="1" applyFont="1" applyFill="1" applyBorder="1" applyAlignment="1">
      <alignment horizontal="center"/>
    </xf>
    <xf numFmtId="49" fontId="3" fillId="2" borderId="18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49" fontId="3" fillId="0" borderId="10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0" fontId="3" fillId="2" borderId="2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24" fillId="0" borderId="2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>
      <alignment horizontal="center" vertical="top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2" xfId="12"/>
    <cellStyle name="Обычный 3" xfId="21"/>
    <cellStyle name="Обычный 4" xfId="22"/>
    <cellStyle name="Параметр" xfId="13"/>
    <cellStyle name="ПеременныеСметы" xfId="14"/>
    <cellStyle name="РесСмета" xfId="15"/>
    <cellStyle name="с сь" xfId="23"/>
    <cellStyle name="СводкаСтоимРаб" xfId="16"/>
    <cellStyle name="Стиль 1" xfId="24"/>
    <cellStyle name="Титул" xfId="17"/>
    <cellStyle name="Финансовый" xfId="20" builtinId="3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457"/>
  <sheetViews>
    <sheetView tabSelected="1" view="pageBreakPreview" zoomScaleNormal="125" zoomScaleSheetLayoutView="100" workbookViewId="0">
      <selection activeCell="A10" sqref="A10:P10"/>
    </sheetView>
  </sheetViews>
  <sheetFormatPr defaultRowHeight="12" x14ac:dyDescent="0.2"/>
  <cols>
    <col min="1" max="1" width="4.85546875" style="1" customWidth="1"/>
    <col min="2" max="2" width="40.5703125" style="16" customWidth="1"/>
    <col min="3" max="3" width="7.140625" style="16" customWidth="1"/>
    <col min="4" max="4" width="8.28515625" style="16" customWidth="1"/>
    <col min="5" max="5" width="6.28515625" style="16" customWidth="1"/>
    <col min="6" max="6" width="17.140625" style="16" customWidth="1"/>
    <col min="7" max="7" width="10.7109375" style="16" customWidth="1"/>
    <col min="8" max="8" width="8.5703125" style="1" customWidth="1"/>
    <col min="9" max="9" width="7.5703125" style="1" customWidth="1"/>
    <col min="10" max="10" width="7" style="1" customWidth="1"/>
    <col min="11" max="11" width="19.7109375" style="1" customWidth="1"/>
    <col min="12" max="12" width="11.140625" style="1" customWidth="1"/>
    <col min="13" max="13" width="31.140625" style="22" customWidth="1"/>
    <col min="14" max="14" width="7.85546875" style="1" customWidth="1"/>
    <col min="15" max="15" width="11" style="1" customWidth="1"/>
    <col min="16" max="16" width="23.85546875" style="16" customWidth="1"/>
    <col min="17" max="17" width="14" style="16" customWidth="1"/>
    <col min="18" max="18" width="40.5703125" style="16" customWidth="1"/>
    <col min="19" max="19" width="9.140625" style="16"/>
    <col min="20" max="20" width="11.5703125" style="16" customWidth="1"/>
    <col min="21" max="16384" width="9.140625" style="16"/>
  </cols>
  <sheetData>
    <row r="1" spans="1:16" s="14" customFormat="1" ht="15" x14ac:dyDescent="0.25">
      <c r="A1" s="390"/>
      <c r="B1" s="391"/>
      <c r="C1" s="390"/>
      <c r="D1" s="390"/>
      <c r="E1" s="390"/>
      <c r="F1" s="359"/>
      <c r="G1" s="359"/>
      <c r="H1" s="359"/>
      <c r="I1" s="360"/>
      <c r="J1" s="360"/>
      <c r="K1" s="360"/>
      <c r="L1" s="360"/>
      <c r="M1" s="359"/>
      <c r="N1" s="360"/>
      <c r="O1" s="360"/>
      <c r="P1" s="392" t="s">
        <v>295</v>
      </c>
    </row>
    <row r="2" spans="1:16" s="14" customFormat="1" ht="15" x14ac:dyDescent="0.25">
      <c r="A2" s="390"/>
      <c r="B2" s="391"/>
      <c r="C2" s="390"/>
      <c r="D2" s="390"/>
      <c r="E2" s="390"/>
      <c r="F2" s="359"/>
      <c r="G2" s="359"/>
      <c r="H2" s="359"/>
      <c r="I2" s="360"/>
      <c r="J2" s="360"/>
      <c r="K2" s="360"/>
      <c r="L2" s="360"/>
      <c r="M2" s="359"/>
      <c r="N2" s="360"/>
      <c r="O2" s="360"/>
      <c r="P2" s="392"/>
    </row>
    <row r="3" spans="1:16" s="14" customFormat="1" ht="15" x14ac:dyDescent="0.25">
      <c r="A3" s="419" t="s">
        <v>284</v>
      </c>
      <c r="B3" s="420"/>
      <c r="C3" s="420"/>
      <c r="D3" s="393"/>
      <c r="E3" s="393"/>
      <c r="F3" s="359"/>
      <c r="G3" s="359"/>
      <c r="H3" s="359"/>
      <c r="I3" s="360"/>
      <c r="J3" s="360"/>
      <c r="K3" s="360"/>
      <c r="L3" s="360"/>
      <c r="M3" s="359"/>
      <c r="N3" s="360"/>
      <c r="O3" s="359"/>
      <c r="P3" s="394" t="s">
        <v>285</v>
      </c>
    </row>
    <row r="4" spans="1:16" s="14" customFormat="1" ht="15" x14ac:dyDescent="0.25">
      <c r="A4" s="390"/>
      <c r="B4" s="359"/>
      <c r="C4" s="395"/>
      <c r="D4" s="393"/>
      <c r="E4" s="393"/>
      <c r="F4" s="396"/>
      <c r="G4" s="359"/>
      <c r="H4" s="359"/>
      <c r="I4" s="360"/>
      <c r="J4" s="360"/>
      <c r="K4" s="360"/>
      <c r="L4" s="360"/>
      <c r="M4" s="359"/>
      <c r="N4" s="360"/>
      <c r="O4" s="359"/>
      <c r="P4" s="392" t="s">
        <v>297</v>
      </c>
    </row>
    <row r="5" spans="1:16" s="14" customFormat="1" ht="15" x14ac:dyDescent="0.25">
      <c r="A5" s="359"/>
      <c r="B5" s="396"/>
      <c r="C5" s="397"/>
      <c r="D5" s="393"/>
      <c r="E5" s="393"/>
      <c r="F5" s="396"/>
      <c r="G5" s="396"/>
      <c r="H5" s="359"/>
      <c r="I5" s="360"/>
      <c r="J5" s="360"/>
      <c r="K5" s="360"/>
      <c r="L5" s="360"/>
      <c r="M5" s="359"/>
      <c r="N5" s="360"/>
      <c r="O5" s="359"/>
      <c r="P5" s="392" t="s">
        <v>286</v>
      </c>
    </row>
    <row r="6" spans="1:16" s="14" customFormat="1" ht="15" x14ac:dyDescent="0.25">
      <c r="A6" s="398" t="s">
        <v>296</v>
      </c>
      <c r="B6" s="396"/>
      <c r="C6" s="397"/>
      <c r="D6" s="393"/>
      <c r="E6" s="393"/>
      <c r="F6" s="390" t="s">
        <v>287</v>
      </c>
      <c r="G6" s="399"/>
      <c r="H6" s="359"/>
      <c r="I6" s="360"/>
      <c r="J6" s="360"/>
      <c r="K6" s="360"/>
      <c r="L6" s="360"/>
      <c r="M6" s="359"/>
      <c r="N6" s="400"/>
      <c r="O6" s="359"/>
      <c r="P6" s="392" t="s">
        <v>298</v>
      </c>
    </row>
    <row r="7" spans="1:16" s="14" customFormat="1" ht="15" x14ac:dyDescent="0.25">
      <c r="A7" s="401" t="s">
        <v>288</v>
      </c>
      <c r="B7" s="359"/>
      <c r="C7" s="397"/>
      <c r="D7" s="393"/>
      <c r="E7" s="393"/>
      <c r="F7" s="396"/>
      <c r="G7" s="390"/>
      <c r="H7" s="359"/>
      <c r="I7" s="360"/>
      <c r="J7" s="360"/>
      <c r="K7" s="360"/>
      <c r="L7" s="360"/>
      <c r="M7" s="359"/>
      <c r="N7" s="400"/>
      <c r="O7" s="359"/>
      <c r="P7" s="402" t="s">
        <v>289</v>
      </c>
    </row>
    <row r="8" spans="1:16" s="14" customFormat="1" ht="15" x14ac:dyDescent="0.25">
      <c r="A8" s="401"/>
      <c r="B8" s="361"/>
      <c r="C8" s="403"/>
      <c r="D8" s="357"/>
      <c r="E8" s="359"/>
      <c r="F8" s="359"/>
      <c r="G8" s="359"/>
      <c r="H8" s="359"/>
      <c r="I8" s="360"/>
      <c r="J8" s="360"/>
      <c r="K8" s="360"/>
      <c r="L8" s="360"/>
      <c r="M8" s="359"/>
      <c r="N8" s="400"/>
      <c r="O8" s="359"/>
      <c r="P8" s="392"/>
    </row>
    <row r="9" spans="1:16" s="14" customFormat="1" ht="12.75" x14ac:dyDescent="0.2">
      <c r="A9" s="142"/>
      <c r="B9" s="142"/>
      <c r="C9" s="144"/>
      <c r="D9" s="142"/>
      <c r="E9" s="142"/>
      <c r="F9" s="142"/>
      <c r="G9" s="142"/>
      <c r="H9" s="142"/>
      <c r="I9" s="143"/>
      <c r="J9" s="143"/>
      <c r="K9" s="143"/>
      <c r="L9" s="143"/>
      <c r="M9" s="142"/>
      <c r="N9" s="143"/>
      <c r="O9" s="143"/>
      <c r="P9" s="142"/>
    </row>
    <row r="10" spans="1:16" ht="15.75" x14ac:dyDescent="0.2">
      <c r="A10" s="545" t="s">
        <v>292</v>
      </c>
      <c r="B10" s="545"/>
      <c r="C10" s="545"/>
      <c r="D10" s="545"/>
      <c r="E10" s="545"/>
      <c r="F10" s="545"/>
      <c r="G10" s="545"/>
      <c r="H10" s="545"/>
      <c r="I10" s="545"/>
      <c r="J10" s="545"/>
      <c r="K10" s="545"/>
      <c r="L10" s="545"/>
      <c r="M10" s="545"/>
      <c r="N10" s="545"/>
      <c r="O10" s="545"/>
      <c r="P10" s="545"/>
    </row>
    <row r="11" spans="1:16" ht="15.75" x14ac:dyDescent="0.2">
      <c r="A11" s="546" t="s">
        <v>290</v>
      </c>
      <c r="B11" s="546"/>
      <c r="C11" s="546"/>
      <c r="D11" s="546"/>
      <c r="E11" s="546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6"/>
    </row>
    <row r="12" spans="1:16" ht="9" customHeight="1" x14ac:dyDescent="0.2">
      <c r="A12" s="547"/>
      <c r="B12" s="547"/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</row>
    <row r="13" spans="1:16" ht="15.75" x14ac:dyDescent="0.25">
      <c r="A13" s="362"/>
      <c r="B13" s="363"/>
      <c r="C13" s="364"/>
      <c r="D13" s="363"/>
      <c r="E13" s="365"/>
      <c r="F13" s="370" t="s">
        <v>277</v>
      </c>
      <c r="G13" s="366"/>
      <c r="H13" s="367"/>
      <c r="I13" s="371" t="s">
        <v>276</v>
      </c>
      <c r="J13" s="627" t="s">
        <v>279</v>
      </c>
      <c r="K13" s="627"/>
      <c r="L13" s="362"/>
      <c r="M13" s="362"/>
      <c r="N13" s="363"/>
      <c r="O13" s="363"/>
      <c r="P13" s="363"/>
    </row>
    <row r="14" spans="1:16" x14ac:dyDescent="0.2">
      <c r="A14" s="549" t="s">
        <v>0</v>
      </c>
      <c r="B14" s="548" t="s">
        <v>1</v>
      </c>
      <c r="C14" s="549" t="s">
        <v>2</v>
      </c>
      <c r="D14" s="549" t="s">
        <v>3</v>
      </c>
      <c r="E14" s="549" t="s">
        <v>4</v>
      </c>
      <c r="F14" s="549" t="s">
        <v>5</v>
      </c>
      <c r="G14" s="548" t="s">
        <v>6</v>
      </c>
      <c r="H14" s="549" t="s">
        <v>7</v>
      </c>
      <c r="I14" s="548" t="s">
        <v>8</v>
      </c>
      <c r="J14" s="548"/>
      <c r="K14" s="548" t="s">
        <v>74</v>
      </c>
      <c r="L14" s="548"/>
      <c r="M14" s="548" t="s">
        <v>9</v>
      </c>
      <c r="N14" s="548"/>
      <c r="O14" s="548"/>
      <c r="P14" s="548"/>
    </row>
    <row r="15" spans="1:16" x14ac:dyDescent="0.2">
      <c r="A15" s="549"/>
      <c r="B15" s="548"/>
      <c r="C15" s="549"/>
      <c r="D15" s="549"/>
      <c r="E15" s="549"/>
      <c r="F15" s="549"/>
      <c r="G15" s="548"/>
      <c r="H15" s="549"/>
      <c r="I15" s="548"/>
      <c r="J15" s="548"/>
      <c r="K15" s="548"/>
      <c r="L15" s="548"/>
      <c r="M15" s="548"/>
      <c r="N15" s="548"/>
      <c r="O15" s="548"/>
      <c r="P15" s="548"/>
    </row>
    <row r="16" spans="1:16" ht="24.75" customHeight="1" x14ac:dyDescent="0.2">
      <c r="A16" s="549"/>
      <c r="B16" s="548"/>
      <c r="C16" s="549"/>
      <c r="D16" s="549"/>
      <c r="E16" s="549"/>
      <c r="F16" s="549"/>
      <c r="G16" s="548"/>
      <c r="H16" s="549"/>
      <c r="I16" s="98" t="s">
        <v>136</v>
      </c>
      <c r="J16" s="98" t="s">
        <v>135</v>
      </c>
      <c r="K16" s="75" t="s">
        <v>75</v>
      </c>
      <c r="L16" s="75" t="s">
        <v>76</v>
      </c>
      <c r="M16" s="75" t="s">
        <v>10</v>
      </c>
      <c r="N16" s="75" t="s">
        <v>11</v>
      </c>
      <c r="O16" s="98" t="s">
        <v>12</v>
      </c>
      <c r="P16" s="98" t="s">
        <v>13</v>
      </c>
    </row>
    <row r="17" spans="1:17" ht="12.75" x14ac:dyDescent="0.2">
      <c r="A17" s="145" t="s">
        <v>14</v>
      </c>
      <c r="B17" s="325" t="s">
        <v>15</v>
      </c>
      <c r="C17" s="145" t="s">
        <v>16</v>
      </c>
      <c r="D17" s="145" t="s">
        <v>17</v>
      </c>
      <c r="E17" s="145" t="s">
        <v>18</v>
      </c>
      <c r="F17" s="145" t="s">
        <v>19</v>
      </c>
      <c r="G17" s="145" t="s">
        <v>20</v>
      </c>
      <c r="H17" s="145" t="s">
        <v>21</v>
      </c>
      <c r="I17" s="145" t="s">
        <v>22</v>
      </c>
      <c r="J17" s="145" t="s">
        <v>23</v>
      </c>
      <c r="K17" s="145" t="s">
        <v>24</v>
      </c>
      <c r="L17" s="145" t="s">
        <v>25</v>
      </c>
      <c r="M17" s="112" t="s">
        <v>26</v>
      </c>
      <c r="N17" s="145" t="s">
        <v>27</v>
      </c>
      <c r="O17" s="145" t="s">
        <v>77</v>
      </c>
      <c r="P17" s="145" t="s">
        <v>78</v>
      </c>
    </row>
    <row r="18" spans="1:17" ht="12.75" x14ac:dyDescent="0.2">
      <c r="A18" s="552"/>
      <c r="B18" s="553"/>
      <c r="C18" s="553"/>
      <c r="D18" s="553"/>
      <c r="E18" s="553"/>
      <c r="F18" s="553"/>
      <c r="G18" s="553"/>
      <c r="H18" s="553"/>
      <c r="I18" s="553"/>
      <c r="J18" s="553"/>
      <c r="K18" s="553"/>
      <c r="L18" s="553"/>
      <c r="M18" s="553"/>
      <c r="N18" s="553"/>
      <c r="O18" s="553"/>
      <c r="P18" s="554"/>
    </row>
    <row r="19" spans="1:17" ht="25.5" hidden="1" customHeight="1" x14ac:dyDescent="0.2">
      <c r="A19" s="479">
        <v>1</v>
      </c>
      <c r="B19" s="293" t="s">
        <v>246</v>
      </c>
      <c r="C19" s="102">
        <v>350</v>
      </c>
      <c r="D19" s="102">
        <v>1824</v>
      </c>
      <c r="E19" s="249">
        <v>2</v>
      </c>
      <c r="F19" s="102"/>
      <c r="G19" s="102"/>
      <c r="H19" s="102">
        <v>150</v>
      </c>
      <c r="I19" s="102"/>
      <c r="J19" s="102"/>
      <c r="K19" s="550"/>
      <c r="L19" s="551"/>
      <c r="M19" s="102"/>
      <c r="N19" s="102"/>
      <c r="O19" s="146"/>
      <c r="P19" s="145"/>
    </row>
    <row r="20" spans="1:17" ht="25.5" hidden="1" x14ac:dyDescent="0.2">
      <c r="A20" s="480"/>
      <c r="B20" s="327" t="s">
        <v>87</v>
      </c>
      <c r="C20" s="102"/>
      <c r="D20" s="601" t="s">
        <v>28</v>
      </c>
      <c r="E20" s="602"/>
      <c r="F20" s="118" t="s">
        <v>50</v>
      </c>
      <c r="G20" s="102"/>
      <c r="H20" s="102"/>
      <c r="I20" s="102"/>
      <c r="J20" s="97">
        <f>3.14*(D19/1000+H19/1000)*H19/1000*E19</f>
        <v>1.9</v>
      </c>
      <c r="K20" s="147"/>
      <c r="L20" s="148"/>
      <c r="M20" s="102"/>
      <c r="N20" s="102"/>
      <c r="O20" s="96"/>
      <c r="P20" s="145"/>
    </row>
    <row r="21" spans="1:17" ht="38.25" hidden="1" x14ac:dyDescent="0.2">
      <c r="A21" s="480"/>
      <c r="B21" s="430" t="s">
        <v>88</v>
      </c>
      <c r="C21" s="467"/>
      <c r="D21" s="603" t="s">
        <v>28</v>
      </c>
      <c r="E21" s="604"/>
      <c r="F21" s="475" t="s">
        <v>50</v>
      </c>
      <c r="G21" s="477" t="s">
        <v>29</v>
      </c>
      <c r="H21" s="467"/>
      <c r="I21" s="464"/>
      <c r="J21" s="464">
        <f>J20</f>
        <v>1.9</v>
      </c>
      <c r="K21" s="73" t="s">
        <v>81</v>
      </c>
      <c r="L21" s="34">
        <v>1.24</v>
      </c>
      <c r="M21" s="227" t="s">
        <v>201</v>
      </c>
      <c r="N21" s="98" t="s">
        <v>135</v>
      </c>
      <c r="O21" s="99">
        <f>J21*L21</f>
        <v>2.3559999999999999</v>
      </c>
      <c r="P21" s="200" t="s">
        <v>65</v>
      </c>
      <c r="Q21" s="206"/>
    </row>
    <row r="22" spans="1:17" ht="12.75" hidden="1" x14ac:dyDescent="0.2">
      <c r="A22" s="480"/>
      <c r="B22" s="430"/>
      <c r="C22" s="468"/>
      <c r="D22" s="605"/>
      <c r="E22" s="606"/>
      <c r="F22" s="476"/>
      <c r="G22" s="478"/>
      <c r="H22" s="468"/>
      <c r="I22" s="465"/>
      <c r="J22" s="465"/>
      <c r="K22" s="73" t="s">
        <v>82</v>
      </c>
      <c r="L22" s="88">
        <f>2.5/1000</f>
        <v>2.5000000000000001E-3</v>
      </c>
      <c r="M22" s="226" t="s">
        <v>200</v>
      </c>
      <c r="N22" s="98" t="s">
        <v>36</v>
      </c>
      <c r="O22" s="187">
        <f>J21*L22</f>
        <v>4.7999999999999996E-3</v>
      </c>
      <c r="P22" s="200" t="s">
        <v>65</v>
      </c>
    </row>
    <row r="23" spans="1:17" ht="25.5" hidden="1" x14ac:dyDescent="0.2">
      <c r="A23" s="480"/>
      <c r="B23" s="504" t="s">
        <v>32</v>
      </c>
      <c r="C23" s="467"/>
      <c r="D23" s="607"/>
      <c r="E23" s="608"/>
      <c r="F23" s="475" t="s">
        <v>29</v>
      </c>
      <c r="G23" s="477" t="s">
        <v>127</v>
      </c>
      <c r="H23" s="467"/>
      <c r="I23" s="493">
        <f>(3.14*(D19/1000+2*H19/1000)*E19)</f>
        <v>13.34</v>
      </c>
      <c r="J23" s="467"/>
      <c r="K23" s="73" t="s">
        <v>83</v>
      </c>
      <c r="L23" s="88">
        <v>1.05</v>
      </c>
      <c r="M23" s="149" t="s">
        <v>221</v>
      </c>
      <c r="N23" s="98" t="s">
        <v>136</v>
      </c>
      <c r="O23" s="99">
        <f>I23*L23</f>
        <v>14.007</v>
      </c>
      <c r="P23" s="200" t="s">
        <v>65</v>
      </c>
    </row>
    <row r="24" spans="1:17" ht="15.75" hidden="1" customHeight="1" x14ac:dyDescent="0.2">
      <c r="A24" s="480"/>
      <c r="B24" s="538"/>
      <c r="C24" s="468"/>
      <c r="D24" s="609"/>
      <c r="E24" s="610"/>
      <c r="F24" s="476"/>
      <c r="G24" s="478"/>
      <c r="H24" s="468"/>
      <c r="I24" s="494"/>
      <c r="J24" s="468"/>
      <c r="K24" s="73" t="s">
        <v>84</v>
      </c>
      <c r="L24" s="88">
        <f>0.03/1000</f>
        <v>3.0000000000000001E-5</v>
      </c>
      <c r="M24" s="226" t="s">
        <v>200</v>
      </c>
      <c r="N24" s="98" t="s">
        <v>36</v>
      </c>
      <c r="O24" s="187">
        <f>I23*L24</f>
        <v>4.0000000000000002E-4</v>
      </c>
      <c r="P24" s="200" t="s">
        <v>65</v>
      </c>
    </row>
    <row r="25" spans="1:17" ht="25.5" hidden="1" x14ac:dyDescent="0.2">
      <c r="A25" s="480"/>
      <c r="B25" s="539" t="s">
        <v>34</v>
      </c>
      <c r="C25" s="467"/>
      <c r="D25" s="607"/>
      <c r="E25" s="608"/>
      <c r="F25" s="415" t="s">
        <v>127</v>
      </c>
      <c r="G25" s="467"/>
      <c r="H25" s="469" t="s">
        <v>214</v>
      </c>
      <c r="I25" s="493">
        <f>I23</f>
        <v>13.34</v>
      </c>
      <c r="J25" s="467"/>
      <c r="K25" s="73" t="s">
        <v>85</v>
      </c>
      <c r="L25" s="88">
        <f>18/1000</f>
        <v>1.7999999999999999E-2</v>
      </c>
      <c r="M25" s="149" t="s">
        <v>195</v>
      </c>
      <c r="N25" s="98" t="s">
        <v>36</v>
      </c>
      <c r="O25" s="99">
        <f>I25*L25</f>
        <v>0.24</v>
      </c>
      <c r="P25" s="200" t="s">
        <v>65</v>
      </c>
    </row>
    <row r="26" spans="1:17" ht="25.5" hidden="1" x14ac:dyDescent="0.2">
      <c r="A26" s="481"/>
      <c r="B26" s="540"/>
      <c r="C26" s="468"/>
      <c r="D26" s="609"/>
      <c r="E26" s="610"/>
      <c r="F26" s="416"/>
      <c r="G26" s="468"/>
      <c r="H26" s="470"/>
      <c r="I26" s="494"/>
      <c r="J26" s="468"/>
      <c r="K26" s="73" t="s">
        <v>85</v>
      </c>
      <c r="L26" s="88">
        <f>5.2/1000</f>
        <v>5.1999999999999998E-3</v>
      </c>
      <c r="M26" s="149" t="s">
        <v>197</v>
      </c>
      <c r="N26" s="98" t="s">
        <v>36</v>
      </c>
      <c r="O26" s="99">
        <f>I25*L26</f>
        <v>6.9000000000000006E-2</v>
      </c>
      <c r="P26" s="200" t="s">
        <v>65</v>
      </c>
    </row>
    <row r="27" spans="1:17" ht="26.25" hidden="1" customHeight="1" x14ac:dyDescent="0.2">
      <c r="A27" s="482">
        <v>2</v>
      </c>
      <c r="B27" s="292" t="s">
        <v>216</v>
      </c>
      <c r="C27" s="100" t="s">
        <v>39</v>
      </c>
      <c r="D27" s="102">
        <v>219</v>
      </c>
      <c r="E27" s="102">
        <v>10</v>
      </c>
      <c r="F27" s="102"/>
      <c r="G27" s="102"/>
      <c r="H27" s="88">
        <v>140</v>
      </c>
      <c r="I27" s="102"/>
      <c r="J27" s="102"/>
      <c r="K27" s="102"/>
      <c r="L27" s="102"/>
      <c r="M27" s="117"/>
      <c r="N27" s="102"/>
      <c r="O27" s="102"/>
      <c r="P27" s="118"/>
    </row>
    <row r="28" spans="1:17" ht="25.5" hidden="1" x14ac:dyDescent="0.2">
      <c r="A28" s="482"/>
      <c r="B28" s="323" t="s">
        <v>38</v>
      </c>
      <c r="C28" s="100"/>
      <c r="D28" s="247" t="s">
        <v>58</v>
      </c>
      <c r="E28" s="235">
        <f>E27</f>
        <v>10</v>
      </c>
      <c r="F28" s="102"/>
      <c r="G28" s="102"/>
      <c r="H28" s="102"/>
      <c r="I28" s="119">
        <f>((D27/1000)+(2*H27/1000))*3.14*E28</f>
        <v>16</v>
      </c>
      <c r="J28" s="102"/>
      <c r="K28" s="102"/>
      <c r="L28" s="102"/>
      <c r="M28" s="117"/>
      <c r="N28" s="102"/>
      <c r="O28" s="102"/>
      <c r="P28" s="118"/>
    </row>
    <row r="29" spans="1:17" ht="25.5" hidden="1" x14ac:dyDescent="0.2">
      <c r="A29" s="482"/>
      <c r="B29" s="327" t="s">
        <v>87</v>
      </c>
      <c r="C29" s="100"/>
      <c r="D29" s="490" t="s">
        <v>52</v>
      </c>
      <c r="E29" s="491"/>
      <c r="F29" s="118" t="s">
        <v>50</v>
      </c>
      <c r="G29" s="102"/>
      <c r="H29" s="102"/>
      <c r="I29" s="205"/>
      <c r="J29" s="172">
        <f>J30</f>
        <v>1.6</v>
      </c>
      <c r="K29" s="102"/>
      <c r="L29" s="102"/>
      <c r="M29" s="117"/>
      <c r="N29" s="102"/>
      <c r="O29" s="102"/>
      <c r="P29" s="118"/>
    </row>
    <row r="30" spans="1:17" ht="38.25" hidden="1" x14ac:dyDescent="0.2">
      <c r="A30" s="482"/>
      <c r="B30" s="430" t="s">
        <v>88</v>
      </c>
      <c r="C30" s="431"/>
      <c r="D30" s="492" t="s">
        <v>52</v>
      </c>
      <c r="E30" s="492"/>
      <c r="F30" s="475" t="s">
        <v>50</v>
      </c>
      <c r="G30" s="417" t="s">
        <v>213</v>
      </c>
      <c r="H30" s="450"/>
      <c r="I30" s="484"/>
      <c r="J30" s="486">
        <f>((D27/1000)+(H27/1000))*(H27/1000)*3.14*E27</f>
        <v>1.6</v>
      </c>
      <c r="K30" s="73" t="s">
        <v>106</v>
      </c>
      <c r="L30" s="34">
        <v>1.24</v>
      </c>
      <c r="M30" s="227" t="s">
        <v>201</v>
      </c>
      <c r="N30" s="202" t="s">
        <v>135</v>
      </c>
      <c r="O30" s="99">
        <f>J30*L30</f>
        <v>1.984</v>
      </c>
      <c r="P30" s="200" t="s">
        <v>65</v>
      </c>
    </row>
    <row r="31" spans="1:17" ht="12.75" hidden="1" x14ac:dyDescent="0.2">
      <c r="A31" s="482"/>
      <c r="B31" s="430"/>
      <c r="C31" s="431"/>
      <c r="D31" s="492"/>
      <c r="E31" s="492"/>
      <c r="F31" s="476"/>
      <c r="G31" s="418"/>
      <c r="H31" s="451"/>
      <c r="I31" s="485"/>
      <c r="J31" s="487"/>
      <c r="K31" s="32" t="s">
        <v>107</v>
      </c>
      <c r="L31" s="88">
        <f>2.9/1000</f>
        <v>2.8999999999999998E-3</v>
      </c>
      <c r="M31" s="226" t="s">
        <v>200</v>
      </c>
      <c r="N31" s="202" t="s">
        <v>36</v>
      </c>
      <c r="O31" s="187">
        <f>J30*L31</f>
        <v>4.5999999999999999E-3</v>
      </c>
      <c r="P31" s="200" t="s">
        <v>65</v>
      </c>
    </row>
    <row r="32" spans="1:17" ht="24" hidden="1" x14ac:dyDescent="0.2">
      <c r="A32" s="482"/>
      <c r="B32" s="430" t="s">
        <v>42</v>
      </c>
      <c r="C32" s="431"/>
      <c r="D32" s="415" t="s">
        <v>58</v>
      </c>
      <c r="E32" s="413">
        <f>E27</f>
        <v>10</v>
      </c>
      <c r="F32" s="417" t="s">
        <v>213</v>
      </c>
      <c r="G32" s="450"/>
      <c r="H32" s="450"/>
      <c r="I32" s="488">
        <f>((D27/1000)+(2*H27/1000))*3.14*E32</f>
        <v>16</v>
      </c>
      <c r="J32" s="484"/>
      <c r="K32" s="32" t="s">
        <v>89</v>
      </c>
      <c r="L32" s="88">
        <f>4.6/1000</f>
        <v>4.5999999999999999E-3</v>
      </c>
      <c r="M32" s="225" t="s">
        <v>199</v>
      </c>
      <c r="N32" s="202" t="s">
        <v>36</v>
      </c>
      <c r="O32" s="99">
        <f>I32*L32</f>
        <v>7.3999999999999996E-2</v>
      </c>
      <c r="P32" s="200" t="s">
        <v>65</v>
      </c>
    </row>
    <row r="33" spans="1:16" ht="12.75" hidden="1" x14ac:dyDescent="0.2">
      <c r="A33" s="482"/>
      <c r="B33" s="483"/>
      <c r="C33" s="431"/>
      <c r="D33" s="416"/>
      <c r="E33" s="414"/>
      <c r="F33" s="418"/>
      <c r="G33" s="451"/>
      <c r="H33" s="451"/>
      <c r="I33" s="489"/>
      <c r="J33" s="485"/>
      <c r="K33" s="32" t="s">
        <v>108</v>
      </c>
      <c r="L33" s="88">
        <f>0.015/1000</f>
        <v>1.5E-5</v>
      </c>
      <c r="M33" s="225" t="s">
        <v>198</v>
      </c>
      <c r="N33" s="202" t="s">
        <v>36</v>
      </c>
      <c r="O33" s="187">
        <f>I32*L33</f>
        <v>2.0000000000000001E-4</v>
      </c>
      <c r="P33" s="200" t="s">
        <v>65</v>
      </c>
    </row>
    <row r="34" spans="1:16" ht="25.5" hidden="1" customHeight="1" x14ac:dyDescent="0.2">
      <c r="A34" s="482">
        <v>3</v>
      </c>
      <c r="B34" s="293" t="s">
        <v>217</v>
      </c>
      <c r="C34" s="100" t="s">
        <v>39</v>
      </c>
      <c r="D34" s="102">
        <v>159</v>
      </c>
      <c r="E34" s="102">
        <v>10</v>
      </c>
      <c r="F34" s="102"/>
      <c r="G34" s="102"/>
      <c r="H34" s="88">
        <v>140</v>
      </c>
      <c r="I34" s="202"/>
      <c r="J34" s="202"/>
      <c r="K34" s="102"/>
      <c r="L34" s="102"/>
      <c r="M34" s="117"/>
      <c r="N34" s="102"/>
      <c r="O34" s="102"/>
      <c r="P34" s="118"/>
    </row>
    <row r="35" spans="1:16" ht="25.5" hidden="1" x14ac:dyDescent="0.2">
      <c r="A35" s="482"/>
      <c r="B35" s="323" t="s">
        <v>38</v>
      </c>
      <c r="C35" s="100"/>
      <c r="D35" s="247" t="s">
        <v>58</v>
      </c>
      <c r="E35" s="101">
        <v>10</v>
      </c>
      <c r="F35" s="102"/>
      <c r="G35" s="102"/>
      <c r="H35" s="102"/>
      <c r="I35" s="205">
        <f>((D34/1000)+(2*H34/1000))*3.14*E35</f>
        <v>14</v>
      </c>
      <c r="J35" s="202"/>
      <c r="K35" s="102"/>
      <c r="L35" s="102"/>
      <c r="M35" s="117"/>
      <c r="N35" s="102"/>
      <c r="O35" s="102"/>
      <c r="P35" s="118"/>
    </row>
    <row r="36" spans="1:16" ht="25.5" hidden="1" x14ac:dyDescent="0.2">
      <c r="A36" s="482"/>
      <c r="B36" s="327" t="s">
        <v>87</v>
      </c>
      <c r="C36" s="100"/>
      <c r="D36" s="496" t="s">
        <v>52</v>
      </c>
      <c r="E36" s="496"/>
      <c r="F36" s="245" t="s">
        <v>50</v>
      </c>
      <c r="G36" s="102"/>
      <c r="H36" s="102"/>
      <c r="I36" s="205"/>
      <c r="J36" s="172">
        <f>J37</f>
        <v>6.3</v>
      </c>
      <c r="K36" s="102"/>
      <c r="L36" s="102"/>
      <c r="M36" s="117"/>
      <c r="N36" s="102"/>
      <c r="O36" s="102"/>
      <c r="P36" s="118"/>
    </row>
    <row r="37" spans="1:16" ht="38.25" hidden="1" x14ac:dyDescent="0.2">
      <c r="A37" s="482"/>
      <c r="B37" s="430" t="s">
        <v>88</v>
      </c>
      <c r="C37" s="431"/>
      <c r="D37" s="496" t="s">
        <v>52</v>
      </c>
      <c r="E37" s="496"/>
      <c r="F37" s="415" t="s">
        <v>50</v>
      </c>
      <c r="G37" s="417" t="s">
        <v>213</v>
      </c>
      <c r="H37" s="450"/>
      <c r="I37" s="450"/>
      <c r="J37" s="464">
        <f>((D34/1000)+(H34/1000))*(H34/1000)*3.14*E39</f>
        <v>6.3</v>
      </c>
      <c r="K37" s="73" t="s">
        <v>106</v>
      </c>
      <c r="L37" s="34">
        <v>1.24</v>
      </c>
      <c r="M37" s="227" t="s">
        <v>201</v>
      </c>
      <c r="N37" s="102" t="s">
        <v>135</v>
      </c>
      <c r="O37" s="120">
        <f>J37*L37</f>
        <v>7.8120000000000003</v>
      </c>
      <c r="P37" s="32" t="s">
        <v>65</v>
      </c>
    </row>
    <row r="38" spans="1:16" ht="12.75" hidden="1" x14ac:dyDescent="0.2">
      <c r="A38" s="482"/>
      <c r="B38" s="430"/>
      <c r="C38" s="431"/>
      <c r="D38" s="496"/>
      <c r="E38" s="496"/>
      <c r="F38" s="416"/>
      <c r="G38" s="418"/>
      <c r="H38" s="451"/>
      <c r="I38" s="451"/>
      <c r="J38" s="465"/>
      <c r="K38" s="32" t="s">
        <v>107</v>
      </c>
      <c r="L38" s="88">
        <f>2.9/1000</f>
        <v>2.8999999999999998E-3</v>
      </c>
      <c r="M38" s="226" t="s">
        <v>200</v>
      </c>
      <c r="N38" s="102" t="s">
        <v>36</v>
      </c>
      <c r="O38" s="121">
        <f>J37*L38</f>
        <v>1.83E-2</v>
      </c>
      <c r="P38" s="32" t="s">
        <v>65</v>
      </c>
    </row>
    <row r="39" spans="1:16" ht="24" hidden="1" x14ac:dyDescent="0.2">
      <c r="A39" s="482"/>
      <c r="B39" s="430" t="s">
        <v>42</v>
      </c>
      <c r="C39" s="431"/>
      <c r="D39" s="415" t="s">
        <v>58</v>
      </c>
      <c r="E39" s="413">
        <v>48</v>
      </c>
      <c r="F39" s="417" t="s">
        <v>213</v>
      </c>
      <c r="G39" s="450"/>
      <c r="H39" s="450"/>
      <c r="I39" s="457">
        <f>((D34/1000)+(2*H34/1000))*3.14*E39</f>
        <v>66</v>
      </c>
      <c r="J39" s="450"/>
      <c r="K39" s="32" t="s">
        <v>89</v>
      </c>
      <c r="L39" s="88">
        <f>4.6/1000</f>
        <v>4.5999999999999999E-3</v>
      </c>
      <c r="M39" s="225" t="s">
        <v>199</v>
      </c>
      <c r="N39" s="102" t="s">
        <v>36</v>
      </c>
      <c r="O39" s="120">
        <f>I39*L39</f>
        <v>0.30399999999999999</v>
      </c>
      <c r="P39" s="32" t="s">
        <v>65</v>
      </c>
    </row>
    <row r="40" spans="1:16" ht="12.75" hidden="1" x14ac:dyDescent="0.2">
      <c r="A40" s="482"/>
      <c r="B40" s="483"/>
      <c r="C40" s="431"/>
      <c r="D40" s="416"/>
      <c r="E40" s="414"/>
      <c r="F40" s="418"/>
      <c r="G40" s="451"/>
      <c r="H40" s="451"/>
      <c r="I40" s="458"/>
      <c r="J40" s="451"/>
      <c r="K40" s="32" t="s">
        <v>108</v>
      </c>
      <c r="L40" s="88">
        <f>0.015/1000</f>
        <v>1.5E-5</v>
      </c>
      <c r="M40" s="225" t="s">
        <v>198</v>
      </c>
      <c r="N40" s="102" t="s">
        <v>36</v>
      </c>
      <c r="O40" s="121">
        <f>I39*L40</f>
        <v>1E-3</v>
      </c>
      <c r="P40" s="32" t="s">
        <v>65</v>
      </c>
    </row>
    <row r="41" spans="1:16" ht="25.5" hidden="1" customHeight="1" x14ac:dyDescent="0.2">
      <c r="A41" s="482">
        <v>4</v>
      </c>
      <c r="B41" s="293" t="s">
        <v>218</v>
      </c>
      <c r="C41" s="100" t="s">
        <v>39</v>
      </c>
      <c r="D41" s="102">
        <v>133</v>
      </c>
      <c r="E41" s="102">
        <v>21</v>
      </c>
      <c r="F41" s="102"/>
      <c r="G41" s="102"/>
      <c r="H41" s="88">
        <v>140</v>
      </c>
      <c r="I41" s="102"/>
      <c r="J41" s="102"/>
      <c r="K41" s="102"/>
      <c r="L41" s="102"/>
      <c r="M41" s="117"/>
      <c r="N41" s="102"/>
      <c r="O41" s="102"/>
      <c r="P41" s="118"/>
    </row>
    <row r="42" spans="1:16" ht="25.5" hidden="1" x14ac:dyDescent="0.2">
      <c r="A42" s="482"/>
      <c r="B42" s="323" t="s">
        <v>38</v>
      </c>
      <c r="C42" s="100"/>
      <c r="D42" s="247" t="s">
        <v>58</v>
      </c>
      <c r="E42" s="235">
        <f>E41</f>
        <v>21</v>
      </c>
      <c r="F42" s="102"/>
      <c r="G42" s="102"/>
      <c r="H42" s="102"/>
      <c r="I42" s="119">
        <f>((D41/1000)+(2*H41/1000))*3.14*E42</f>
        <v>27</v>
      </c>
      <c r="J42" s="102"/>
      <c r="K42" s="102"/>
      <c r="L42" s="102"/>
      <c r="M42" s="117"/>
      <c r="N42" s="102"/>
      <c r="O42" s="102"/>
      <c r="P42" s="118"/>
    </row>
    <row r="43" spans="1:16" ht="25.5" hidden="1" x14ac:dyDescent="0.2">
      <c r="A43" s="482"/>
      <c r="B43" s="327" t="s">
        <v>87</v>
      </c>
      <c r="C43" s="100"/>
      <c r="D43" s="448" t="s">
        <v>52</v>
      </c>
      <c r="E43" s="448"/>
      <c r="F43" s="118" t="s">
        <v>50</v>
      </c>
      <c r="G43" s="102"/>
      <c r="H43" s="102"/>
      <c r="I43" s="119"/>
      <c r="J43" s="97">
        <f>J44</f>
        <v>2.5</v>
      </c>
      <c r="K43" s="102"/>
      <c r="L43" s="102"/>
      <c r="M43" s="117"/>
      <c r="N43" s="102"/>
      <c r="O43" s="102"/>
      <c r="P43" s="118"/>
    </row>
    <row r="44" spans="1:16" ht="38.25" hidden="1" x14ac:dyDescent="0.2">
      <c r="A44" s="482"/>
      <c r="B44" s="430" t="s">
        <v>88</v>
      </c>
      <c r="C44" s="431"/>
      <c r="D44" s="448" t="s">
        <v>52</v>
      </c>
      <c r="E44" s="448"/>
      <c r="F44" s="436" t="s">
        <v>50</v>
      </c>
      <c r="G44" s="417" t="s">
        <v>213</v>
      </c>
      <c r="H44" s="450"/>
      <c r="I44" s="450"/>
      <c r="J44" s="464">
        <f>((D41/1000)+(H41/1000))*(H41/1000)*3.14*E41</f>
        <v>2.5</v>
      </c>
      <c r="K44" s="73" t="s">
        <v>106</v>
      </c>
      <c r="L44" s="34">
        <v>1.24</v>
      </c>
      <c r="M44" s="227" t="s">
        <v>201</v>
      </c>
      <c r="N44" s="102" t="s">
        <v>135</v>
      </c>
      <c r="O44" s="59">
        <f>J44*L44</f>
        <v>3.1</v>
      </c>
      <c r="P44" s="32" t="s">
        <v>65</v>
      </c>
    </row>
    <row r="45" spans="1:16" ht="12.75" hidden="1" x14ac:dyDescent="0.2">
      <c r="A45" s="482"/>
      <c r="B45" s="430"/>
      <c r="C45" s="431"/>
      <c r="D45" s="448"/>
      <c r="E45" s="448"/>
      <c r="F45" s="437"/>
      <c r="G45" s="418"/>
      <c r="H45" s="451"/>
      <c r="I45" s="451"/>
      <c r="J45" s="465"/>
      <c r="K45" s="32" t="s">
        <v>107</v>
      </c>
      <c r="L45" s="88">
        <f>2.9/1000</f>
        <v>2.8999999999999998E-3</v>
      </c>
      <c r="M45" s="226" t="s">
        <v>200</v>
      </c>
      <c r="N45" s="102" t="s">
        <v>36</v>
      </c>
      <c r="O45" s="121">
        <f>J44*L45</f>
        <v>7.3000000000000001E-3</v>
      </c>
      <c r="P45" s="32" t="s">
        <v>65</v>
      </c>
    </row>
    <row r="46" spans="1:16" ht="24" hidden="1" x14ac:dyDescent="0.2">
      <c r="A46" s="482"/>
      <c r="B46" s="430" t="s">
        <v>42</v>
      </c>
      <c r="C46" s="431"/>
      <c r="D46" s="436" t="s">
        <v>58</v>
      </c>
      <c r="E46" s="450">
        <v>21</v>
      </c>
      <c r="F46" s="417" t="s">
        <v>213</v>
      </c>
      <c r="G46" s="450"/>
      <c r="H46" s="450"/>
      <c r="I46" s="457">
        <f>((D41/1000)+(2*H41/1000))*3.14*E46</f>
        <v>27</v>
      </c>
      <c r="J46" s="450"/>
      <c r="K46" s="32" t="s">
        <v>89</v>
      </c>
      <c r="L46" s="88">
        <f>4.6/1000</f>
        <v>4.5999999999999999E-3</v>
      </c>
      <c r="M46" s="225" t="s">
        <v>199</v>
      </c>
      <c r="N46" s="102" t="s">
        <v>36</v>
      </c>
      <c r="O46" s="120">
        <f>I46*L46</f>
        <v>0.124</v>
      </c>
      <c r="P46" s="32" t="s">
        <v>65</v>
      </c>
    </row>
    <row r="47" spans="1:16" ht="12.75" hidden="1" x14ac:dyDescent="0.2">
      <c r="A47" s="482"/>
      <c r="B47" s="483"/>
      <c r="C47" s="431"/>
      <c r="D47" s="437"/>
      <c r="E47" s="451"/>
      <c r="F47" s="418"/>
      <c r="G47" s="451"/>
      <c r="H47" s="451"/>
      <c r="I47" s="458"/>
      <c r="J47" s="451"/>
      <c r="K47" s="32" t="s">
        <v>108</v>
      </c>
      <c r="L47" s="88">
        <f>0.015/1000</f>
        <v>1.5E-5</v>
      </c>
      <c r="M47" s="225" t="s">
        <v>198</v>
      </c>
      <c r="N47" s="102" t="s">
        <v>36</v>
      </c>
      <c r="O47" s="121">
        <f>I46*L47</f>
        <v>4.0000000000000002E-4</v>
      </c>
      <c r="P47" s="32" t="s">
        <v>65</v>
      </c>
    </row>
    <row r="48" spans="1:16" ht="12.75" hidden="1" x14ac:dyDescent="0.2">
      <c r="A48" s="259">
        <v>5</v>
      </c>
      <c r="B48" s="294" t="s">
        <v>247</v>
      </c>
      <c r="C48" s="252"/>
      <c r="D48" s="258"/>
      <c r="E48" s="256"/>
      <c r="F48" s="255"/>
      <c r="G48" s="256"/>
      <c r="H48" s="256"/>
      <c r="I48" s="257"/>
      <c r="J48" s="256"/>
      <c r="K48" s="254"/>
      <c r="L48" s="253"/>
      <c r="M48" s="225"/>
      <c r="N48" s="193"/>
      <c r="O48" s="121"/>
      <c r="P48" s="254"/>
    </row>
    <row r="49" spans="1:17" ht="33" hidden="1" customHeight="1" x14ac:dyDescent="0.2">
      <c r="A49" s="479"/>
      <c r="B49" s="504" t="s">
        <v>192</v>
      </c>
      <c r="C49" s="409"/>
      <c r="D49" s="409"/>
      <c r="E49" s="409"/>
      <c r="F49" s="409"/>
      <c r="G49" s="409"/>
      <c r="H49" s="409"/>
      <c r="I49" s="409"/>
      <c r="J49" s="409"/>
      <c r="K49" s="230"/>
      <c r="L49" s="410" t="s">
        <v>128</v>
      </c>
      <c r="M49" s="37" t="s">
        <v>177</v>
      </c>
      <c r="N49" s="229" t="s">
        <v>36</v>
      </c>
      <c r="O49" s="150" t="s">
        <v>210</v>
      </c>
      <c r="P49" s="231" t="s">
        <v>65</v>
      </c>
      <c r="Q49" s="16" t="s">
        <v>193</v>
      </c>
    </row>
    <row r="50" spans="1:17" ht="38.25" hidden="1" x14ac:dyDescent="0.2">
      <c r="A50" s="480"/>
      <c r="B50" s="505"/>
      <c r="C50" s="409"/>
      <c r="D50" s="409"/>
      <c r="E50" s="409"/>
      <c r="F50" s="409"/>
      <c r="G50" s="409"/>
      <c r="H50" s="409"/>
      <c r="I50" s="409"/>
      <c r="J50" s="409"/>
      <c r="K50" s="232" t="s">
        <v>86</v>
      </c>
      <c r="L50" s="410"/>
      <c r="M50" s="230" t="s">
        <v>64</v>
      </c>
      <c r="N50" s="229" t="s">
        <v>30</v>
      </c>
      <c r="O50" s="151">
        <f>27.04/100*0.008</f>
        <v>2E-3</v>
      </c>
      <c r="P50" s="231" t="s">
        <v>65</v>
      </c>
    </row>
    <row r="51" spans="1:17" ht="57.75" hidden="1" customHeight="1" x14ac:dyDescent="0.2">
      <c r="A51" s="480"/>
      <c r="B51" s="505"/>
      <c r="C51" s="409"/>
      <c r="D51" s="409"/>
      <c r="E51" s="409"/>
      <c r="F51" s="409"/>
      <c r="G51" s="409"/>
      <c r="H51" s="409"/>
      <c r="I51" s="409"/>
      <c r="J51" s="409"/>
      <c r="K51" s="232" t="s">
        <v>86</v>
      </c>
      <c r="L51" s="410"/>
      <c r="M51" s="230" t="s">
        <v>66</v>
      </c>
      <c r="N51" s="229" t="s">
        <v>36</v>
      </c>
      <c r="O51" s="151">
        <f>27.04/100*0.029</f>
        <v>8.0000000000000002E-3</v>
      </c>
      <c r="P51" s="231" t="s">
        <v>65</v>
      </c>
    </row>
    <row r="52" spans="1:17" ht="12.75" hidden="1" x14ac:dyDescent="0.2">
      <c r="A52" s="481"/>
      <c r="B52" s="506"/>
      <c r="C52" s="409"/>
      <c r="D52" s="409"/>
      <c r="E52" s="409"/>
      <c r="F52" s="409"/>
      <c r="G52" s="409"/>
      <c r="H52" s="409"/>
      <c r="I52" s="409"/>
      <c r="J52" s="409"/>
      <c r="K52" s="232" t="s">
        <v>86</v>
      </c>
      <c r="L52" s="410"/>
      <c r="M52" s="230" t="s">
        <v>67</v>
      </c>
      <c r="N52" s="229" t="s">
        <v>33</v>
      </c>
      <c r="O52" s="152">
        <f>27.04/100*5.5</f>
        <v>1.4870000000000001</v>
      </c>
      <c r="P52" s="231" t="s">
        <v>65</v>
      </c>
    </row>
    <row r="53" spans="1:17" ht="38.25" hidden="1" x14ac:dyDescent="0.2">
      <c r="A53" s="108"/>
      <c r="B53" s="324" t="s">
        <v>211</v>
      </c>
      <c r="C53" s="229" t="s">
        <v>33</v>
      </c>
      <c r="D53" s="229">
        <f>2.6*18.6</f>
        <v>48.36</v>
      </c>
      <c r="E53" s="192"/>
      <c r="F53" s="192"/>
      <c r="G53" s="192"/>
      <c r="H53" s="192"/>
      <c r="I53" s="192"/>
      <c r="J53" s="192"/>
      <c r="K53" s="232" t="s">
        <v>86</v>
      </c>
      <c r="L53" s="192"/>
      <c r="M53" s="230" t="s">
        <v>67</v>
      </c>
      <c r="N53" s="229" t="s">
        <v>33</v>
      </c>
      <c r="O53" s="152">
        <f>D53/100*5.5</f>
        <v>2.66</v>
      </c>
      <c r="P53" s="298" t="s">
        <v>65</v>
      </c>
      <c r="Q53" s="103"/>
    </row>
    <row r="54" spans="1:17" ht="12.75" hidden="1" x14ac:dyDescent="0.2">
      <c r="A54" s="471">
        <v>6</v>
      </c>
      <c r="B54" s="328" t="s">
        <v>219</v>
      </c>
      <c r="C54" s="89" t="s">
        <v>59</v>
      </c>
      <c r="D54" s="88">
        <v>325</v>
      </c>
      <c r="E54" s="88">
        <v>8</v>
      </c>
      <c r="F54" s="88"/>
      <c r="G54" s="88"/>
      <c r="H54" s="88">
        <f>H56+H59</f>
        <v>180</v>
      </c>
      <c r="I54" s="153"/>
      <c r="J54" s="90"/>
      <c r="K54" s="33"/>
      <c r="L54" s="33"/>
      <c r="M54" s="122"/>
      <c r="N54" s="154"/>
      <c r="O54" s="88"/>
      <c r="P54" s="40"/>
      <c r="Q54" s="41"/>
    </row>
    <row r="55" spans="1:17" ht="12.75" hidden="1" x14ac:dyDescent="0.2">
      <c r="A55" s="472"/>
      <c r="B55" s="329" t="s">
        <v>129</v>
      </c>
      <c r="C55" s="81"/>
      <c r="D55" s="497" t="s">
        <v>52</v>
      </c>
      <c r="E55" s="498"/>
      <c r="F55" s="246" t="s">
        <v>46</v>
      </c>
      <c r="G55" s="83"/>
      <c r="H55" s="83"/>
      <c r="I55" s="87"/>
      <c r="J55" s="91">
        <f>J56</f>
        <v>0.5</v>
      </c>
      <c r="K55" s="33"/>
      <c r="L55" s="33"/>
      <c r="M55" s="122"/>
      <c r="N55" s="154"/>
      <c r="O55" s="88"/>
      <c r="P55" s="40"/>
      <c r="Q55" s="41"/>
    </row>
    <row r="56" spans="1:17" ht="12.75" hidden="1" x14ac:dyDescent="0.2">
      <c r="A56" s="472"/>
      <c r="B56" s="475" t="s">
        <v>130</v>
      </c>
      <c r="C56" s="433"/>
      <c r="D56" s="474" t="s">
        <v>52</v>
      </c>
      <c r="E56" s="474"/>
      <c r="F56" s="474" t="s">
        <v>46</v>
      </c>
      <c r="G56" s="409"/>
      <c r="H56" s="503">
        <v>50</v>
      </c>
      <c r="I56" s="503"/>
      <c r="J56" s="435">
        <f>((D54/1000)+(H56/1000))*(H56/1000)*3.14*E54</f>
        <v>0.5</v>
      </c>
      <c r="K56" s="93" t="s">
        <v>239</v>
      </c>
      <c r="L56" s="42">
        <v>1.19</v>
      </c>
      <c r="M56" s="122" t="s">
        <v>131</v>
      </c>
      <c r="N56" s="74" t="s">
        <v>31</v>
      </c>
      <c r="O56" s="151">
        <f>J56*L56*130</f>
        <v>77.349999999999994</v>
      </c>
      <c r="P56" s="312" t="s">
        <v>71</v>
      </c>
    </row>
    <row r="57" spans="1:17" ht="12.75" hidden="1" x14ac:dyDescent="0.2">
      <c r="A57" s="472"/>
      <c r="B57" s="476"/>
      <c r="C57" s="433"/>
      <c r="D57" s="474"/>
      <c r="E57" s="474"/>
      <c r="F57" s="474"/>
      <c r="G57" s="409"/>
      <c r="H57" s="503"/>
      <c r="I57" s="503"/>
      <c r="J57" s="435"/>
      <c r="K57" s="93" t="s">
        <v>133</v>
      </c>
      <c r="L57" s="74">
        <f>2.9/1000</f>
        <v>2.8999999999999998E-3</v>
      </c>
      <c r="M57" s="226" t="s">
        <v>200</v>
      </c>
      <c r="N57" s="74" t="s">
        <v>36</v>
      </c>
      <c r="O57" s="170">
        <f>J56*L57</f>
        <v>1.5E-3</v>
      </c>
      <c r="P57" s="312" t="s">
        <v>65</v>
      </c>
    </row>
    <row r="58" spans="1:17" ht="25.5" hidden="1" x14ac:dyDescent="0.2">
      <c r="A58" s="472"/>
      <c r="B58" s="330" t="s">
        <v>134</v>
      </c>
      <c r="C58" s="89"/>
      <c r="D58" s="497" t="s">
        <v>52</v>
      </c>
      <c r="E58" s="498"/>
      <c r="F58" s="234" t="s">
        <v>50</v>
      </c>
      <c r="G58" s="88"/>
      <c r="H58" s="88"/>
      <c r="I58" s="88"/>
      <c r="J58" s="90">
        <f>J59</f>
        <v>1.8</v>
      </c>
      <c r="K58" s="32"/>
      <c r="L58" s="88"/>
      <c r="M58" s="39"/>
      <c r="N58" s="88"/>
      <c r="O58" s="36"/>
      <c r="P58" s="304"/>
    </row>
    <row r="59" spans="1:17" ht="38.25" hidden="1" x14ac:dyDescent="0.2">
      <c r="A59" s="472"/>
      <c r="B59" s="430" t="s">
        <v>80</v>
      </c>
      <c r="C59" s="433"/>
      <c r="D59" s="411" t="s">
        <v>52</v>
      </c>
      <c r="E59" s="411"/>
      <c r="F59" s="411" t="s">
        <v>50</v>
      </c>
      <c r="G59" s="411" t="s">
        <v>29</v>
      </c>
      <c r="H59" s="410">
        <v>130</v>
      </c>
      <c r="I59" s="410"/>
      <c r="J59" s="511">
        <f>3.14*((D54/1000+2*H56/1000)+H59/1000)*H59/1000*E54</f>
        <v>1.8</v>
      </c>
      <c r="K59" s="73" t="s">
        <v>106</v>
      </c>
      <c r="L59" s="34">
        <v>1.24</v>
      </c>
      <c r="M59" s="227" t="s">
        <v>201</v>
      </c>
      <c r="N59" s="88" t="s">
        <v>135</v>
      </c>
      <c r="O59" s="36">
        <f>J59*L59</f>
        <v>2.2320000000000002</v>
      </c>
      <c r="P59" s="304" t="s">
        <v>65</v>
      </c>
    </row>
    <row r="60" spans="1:17" ht="12.75" hidden="1" x14ac:dyDescent="0.2">
      <c r="A60" s="472"/>
      <c r="B60" s="430"/>
      <c r="C60" s="433"/>
      <c r="D60" s="411"/>
      <c r="E60" s="411"/>
      <c r="F60" s="411"/>
      <c r="G60" s="411"/>
      <c r="H60" s="410"/>
      <c r="I60" s="410"/>
      <c r="J60" s="511"/>
      <c r="K60" s="32" t="s">
        <v>107</v>
      </c>
      <c r="L60" s="88">
        <f>2.9/1000</f>
        <v>2.8999999999999998E-3</v>
      </c>
      <c r="M60" s="226" t="s">
        <v>200</v>
      </c>
      <c r="N60" s="88" t="s">
        <v>36</v>
      </c>
      <c r="O60" s="38">
        <f>J59*L60</f>
        <v>5.1999999999999998E-3</v>
      </c>
      <c r="P60" s="304" t="s">
        <v>65</v>
      </c>
    </row>
    <row r="61" spans="1:17" ht="25.5" hidden="1" x14ac:dyDescent="0.2">
      <c r="A61" s="472"/>
      <c r="B61" s="459" t="s">
        <v>32</v>
      </c>
      <c r="C61" s="433"/>
      <c r="D61" s="499"/>
      <c r="E61" s="500"/>
      <c r="F61" s="411" t="s">
        <v>29</v>
      </c>
      <c r="G61" s="411" t="s">
        <v>127</v>
      </c>
      <c r="H61" s="410"/>
      <c r="I61" s="412">
        <f>3.14*((D54/1000)+2*(H56/1000+H59/1000))*E54</f>
        <v>17</v>
      </c>
      <c r="J61" s="511"/>
      <c r="K61" s="32" t="s">
        <v>83</v>
      </c>
      <c r="L61" s="88">
        <v>1.05</v>
      </c>
      <c r="M61" s="149" t="s">
        <v>221</v>
      </c>
      <c r="N61" s="88" t="s">
        <v>136</v>
      </c>
      <c r="O61" s="36">
        <f>I61*L61</f>
        <v>17.850000000000001</v>
      </c>
      <c r="P61" s="304" t="s">
        <v>65</v>
      </c>
    </row>
    <row r="62" spans="1:17" ht="12.75" hidden="1" x14ac:dyDescent="0.2">
      <c r="A62" s="472"/>
      <c r="B62" s="459"/>
      <c r="C62" s="433"/>
      <c r="D62" s="501"/>
      <c r="E62" s="502"/>
      <c r="F62" s="411"/>
      <c r="G62" s="411"/>
      <c r="H62" s="410"/>
      <c r="I62" s="412"/>
      <c r="J62" s="511"/>
      <c r="K62" s="32" t="s">
        <v>84</v>
      </c>
      <c r="L62" s="88">
        <f>0.03/1000</f>
        <v>3.0000000000000001E-5</v>
      </c>
      <c r="M62" s="226" t="s">
        <v>200</v>
      </c>
      <c r="N62" s="88" t="s">
        <v>36</v>
      </c>
      <c r="O62" s="38">
        <f>I61*L62</f>
        <v>5.0000000000000001E-4</v>
      </c>
      <c r="P62" s="304" t="s">
        <v>65</v>
      </c>
    </row>
    <row r="63" spans="1:17" ht="25.5" hidden="1" x14ac:dyDescent="0.2">
      <c r="A63" s="472"/>
      <c r="B63" s="459" t="s">
        <v>34</v>
      </c>
      <c r="C63" s="433"/>
      <c r="D63" s="507"/>
      <c r="E63" s="508"/>
      <c r="F63" s="462" t="s">
        <v>127</v>
      </c>
      <c r="G63" s="409"/>
      <c r="H63" s="410"/>
      <c r="I63" s="412">
        <f>I61</f>
        <v>17</v>
      </c>
      <c r="J63" s="412"/>
      <c r="K63" s="32" t="s">
        <v>85</v>
      </c>
      <c r="L63" s="88">
        <f>18/1000</f>
        <v>1.7999999999999999E-2</v>
      </c>
      <c r="M63" s="149" t="s">
        <v>195</v>
      </c>
      <c r="N63" s="88" t="s">
        <v>36</v>
      </c>
      <c r="O63" s="36">
        <f>I63*L63</f>
        <v>0.30599999999999999</v>
      </c>
      <c r="P63" s="304" t="s">
        <v>65</v>
      </c>
    </row>
    <row r="64" spans="1:17" ht="25.5" hidden="1" x14ac:dyDescent="0.2">
      <c r="A64" s="473"/>
      <c r="B64" s="459"/>
      <c r="C64" s="433"/>
      <c r="D64" s="509"/>
      <c r="E64" s="510"/>
      <c r="F64" s="463"/>
      <c r="G64" s="409"/>
      <c r="H64" s="410"/>
      <c r="I64" s="412"/>
      <c r="J64" s="412"/>
      <c r="K64" s="32" t="s">
        <v>85</v>
      </c>
      <c r="L64" s="88">
        <f>5.2/1000</f>
        <v>5.1999999999999998E-3</v>
      </c>
      <c r="M64" s="149" t="s">
        <v>197</v>
      </c>
      <c r="N64" s="88" t="s">
        <v>36</v>
      </c>
      <c r="O64" s="36">
        <f>I63*L64</f>
        <v>8.7999999999999995E-2</v>
      </c>
      <c r="P64" s="304" t="s">
        <v>65</v>
      </c>
    </row>
    <row r="65" spans="1:18" ht="25.5" hidden="1" x14ac:dyDescent="0.2">
      <c r="A65" s="471">
        <v>7</v>
      </c>
      <c r="B65" s="293" t="s">
        <v>220</v>
      </c>
      <c r="C65" s="79" t="s">
        <v>59</v>
      </c>
      <c r="D65" s="74">
        <v>76</v>
      </c>
      <c r="E65" s="74">
        <v>29</v>
      </c>
      <c r="F65" s="88"/>
      <c r="G65" s="88"/>
      <c r="H65" s="248">
        <f>H67+H70</f>
        <v>180</v>
      </c>
      <c r="I65" s="153"/>
      <c r="J65" s="88"/>
      <c r="K65" s="88"/>
      <c r="L65" s="86"/>
      <c r="M65" s="43"/>
      <c r="N65" s="154"/>
      <c r="O65" s="88"/>
      <c r="P65" s="123"/>
    </row>
    <row r="66" spans="1:18" ht="12.75" hidden="1" x14ac:dyDescent="0.2">
      <c r="A66" s="472"/>
      <c r="B66" s="327" t="s">
        <v>129</v>
      </c>
      <c r="C66" s="89"/>
      <c r="D66" s="411" t="s">
        <v>52</v>
      </c>
      <c r="E66" s="411"/>
      <c r="F66" s="233" t="s">
        <v>46</v>
      </c>
      <c r="G66" s="88"/>
      <c r="H66" s="88"/>
      <c r="I66" s="88"/>
      <c r="J66" s="186">
        <f>J67</f>
        <v>0.56999999999999995</v>
      </c>
      <c r="K66" s="90"/>
      <c r="L66" s="211"/>
      <c r="M66" s="126"/>
      <c r="N66" s="126"/>
      <c r="O66" s="126"/>
      <c r="P66" s="126"/>
    </row>
    <row r="67" spans="1:18" ht="12.75" hidden="1" x14ac:dyDescent="0.2">
      <c r="A67" s="472"/>
      <c r="B67" s="495" t="s">
        <v>130</v>
      </c>
      <c r="C67" s="433"/>
      <c r="D67" s="411" t="s">
        <v>52</v>
      </c>
      <c r="E67" s="411"/>
      <c r="F67" s="411" t="s">
        <v>46</v>
      </c>
      <c r="G67" s="410"/>
      <c r="H67" s="410">
        <v>50</v>
      </c>
      <c r="I67" s="410"/>
      <c r="J67" s="512">
        <f>((D65/1000)+(H67/1000))*(H67/1000)*3.14*E65</f>
        <v>0.56999999999999995</v>
      </c>
      <c r="K67" s="318" t="s">
        <v>239</v>
      </c>
      <c r="L67" s="156">
        <v>1.19</v>
      </c>
      <c r="M67" s="43" t="s">
        <v>131</v>
      </c>
      <c r="N67" s="94" t="s">
        <v>31</v>
      </c>
      <c r="O67" s="158">
        <f>J67*L67*130</f>
        <v>88.179000000000002</v>
      </c>
      <c r="P67" s="305" t="s">
        <v>132</v>
      </c>
    </row>
    <row r="68" spans="1:18" ht="12.75" hidden="1" x14ac:dyDescent="0.2">
      <c r="A68" s="472"/>
      <c r="B68" s="495"/>
      <c r="C68" s="433"/>
      <c r="D68" s="411"/>
      <c r="E68" s="411"/>
      <c r="F68" s="411"/>
      <c r="G68" s="410"/>
      <c r="H68" s="410"/>
      <c r="I68" s="410"/>
      <c r="J68" s="512"/>
      <c r="K68" s="93" t="s">
        <v>133</v>
      </c>
      <c r="L68" s="157">
        <f>2.9/1000</f>
        <v>2.8999999999999998E-3</v>
      </c>
      <c r="M68" s="226" t="s">
        <v>200</v>
      </c>
      <c r="N68" s="94" t="s">
        <v>36</v>
      </c>
      <c r="O68" s="163">
        <f>J67*L68</f>
        <v>1.6999999999999999E-3</v>
      </c>
      <c r="P68" s="305" t="s">
        <v>65</v>
      </c>
    </row>
    <row r="69" spans="1:18" ht="25.5" hidden="1" x14ac:dyDescent="0.2">
      <c r="A69" s="472"/>
      <c r="B69" s="327" t="s">
        <v>134</v>
      </c>
      <c r="C69" s="89"/>
      <c r="D69" s="411" t="s">
        <v>52</v>
      </c>
      <c r="E69" s="411"/>
      <c r="F69" s="43" t="s">
        <v>50</v>
      </c>
      <c r="G69" s="159"/>
      <c r="H69" s="159"/>
      <c r="I69" s="160"/>
      <c r="J69" s="213">
        <f>J70</f>
        <v>3.6</v>
      </c>
      <c r="K69" s="162"/>
      <c r="L69" s="162"/>
      <c r="M69" s="159"/>
      <c r="N69" s="159"/>
      <c r="O69" s="159"/>
      <c r="P69" s="317"/>
    </row>
    <row r="70" spans="1:18" ht="38.25" hidden="1" x14ac:dyDescent="0.2">
      <c r="A70" s="472"/>
      <c r="B70" s="430" t="s">
        <v>80</v>
      </c>
      <c r="C70" s="433"/>
      <c r="D70" s="411" t="s">
        <v>52</v>
      </c>
      <c r="E70" s="411"/>
      <c r="F70" s="410" t="s">
        <v>50</v>
      </c>
      <c r="G70" s="411" t="s">
        <v>29</v>
      </c>
      <c r="H70" s="410">
        <v>130</v>
      </c>
      <c r="I70" s="410"/>
      <c r="J70" s="435">
        <f>3.14*((D65/1000+2*H67/1000)+H70/1000)*H70/1000*E65</f>
        <v>3.6</v>
      </c>
      <c r="K70" s="93" t="s">
        <v>106</v>
      </c>
      <c r="L70" s="156">
        <v>1.24</v>
      </c>
      <c r="M70" s="227" t="s">
        <v>201</v>
      </c>
      <c r="N70" s="94" t="s">
        <v>135</v>
      </c>
      <c r="O70" s="158">
        <f>J70*L70</f>
        <v>4.4640000000000004</v>
      </c>
      <c r="P70" s="305" t="s">
        <v>65</v>
      </c>
    </row>
    <row r="71" spans="1:18" ht="12.75" hidden="1" x14ac:dyDescent="0.2">
      <c r="A71" s="472"/>
      <c r="B71" s="430"/>
      <c r="C71" s="433"/>
      <c r="D71" s="411"/>
      <c r="E71" s="411"/>
      <c r="F71" s="410"/>
      <c r="G71" s="411"/>
      <c r="H71" s="410"/>
      <c r="I71" s="410"/>
      <c r="J71" s="435"/>
      <c r="K71" s="93" t="s">
        <v>107</v>
      </c>
      <c r="L71" s="157">
        <f>2.9/1000</f>
        <v>2.8999999999999998E-3</v>
      </c>
      <c r="M71" s="226" t="s">
        <v>200</v>
      </c>
      <c r="N71" s="94" t="s">
        <v>36</v>
      </c>
      <c r="O71" s="163">
        <f>J70*L71</f>
        <v>1.04E-2</v>
      </c>
      <c r="P71" s="305" t="s">
        <v>65</v>
      </c>
    </row>
    <row r="72" spans="1:18" ht="25.5" hidden="1" x14ac:dyDescent="0.2">
      <c r="A72" s="472"/>
      <c r="B72" s="459" t="s">
        <v>32</v>
      </c>
      <c r="C72" s="433"/>
      <c r="D72" s="410"/>
      <c r="E72" s="410"/>
      <c r="F72" s="411" t="s">
        <v>29</v>
      </c>
      <c r="G72" s="411" t="s">
        <v>127</v>
      </c>
      <c r="H72" s="410"/>
      <c r="I72" s="513">
        <f>3.14*((D65/1000)+2*(H67/1000+H70/1000))*E65</f>
        <v>40</v>
      </c>
      <c r="J72" s="409"/>
      <c r="K72" s="93" t="s">
        <v>83</v>
      </c>
      <c r="L72" s="157">
        <v>1.05</v>
      </c>
      <c r="M72" s="149" t="s">
        <v>221</v>
      </c>
      <c r="N72" s="94" t="s">
        <v>136</v>
      </c>
      <c r="O72" s="150">
        <f>I72*L72</f>
        <v>42</v>
      </c>
      <c r="P72" s="305" t="s">
        <v>65</v>
      </c>
    </row>
    <row r="73" spans="1:18" ht="12.75" hidden="1" x14ac:dyDescent="0.2">
      <c r="A73" s="472"/>
      <c r="B73" s="459"/>
      <c r="C73" s="433"/>
      <c r="D73" s="410"/>
      <c r="E73" s="410"/>
      <c r="F73" s="411"/>
      <c r="G73" s="411"/>
      <c r="H73" s="410"/>
      <c r="I73" s="514"/>
      <c r="J73" s="409"/>
      <c r="K73" s="93" t="s">
        <v>84</v>
      </c>
      <c r="L73" s="157">
        <f>0.03/1000</f>
        <v>3.0000000000000001E-5</v>
      </c>
      <c r="M73" s="226" t="s">
        <v>200</v>
      </c>
      <c r="N73" s="94" t="s">
        <v>36</v>
      </c>
      <c r="O73" s="163">
        <f>I72*L73</f>
        <v>1.1999999999999999E-3</v>
      </c>
      <c r="P73" s="305" t="s">
        <v>65</v>
      </c>
    </row>
    <row r="74" spans="1:18" ht="25.5" hidden="1" x14ac:dyDescent="0.2">
      <c r="A74" s="472"/>
      <c r="B74" s="430" t="s">
        <v>34</v>
      </c>
      <c r="C74" s="433"/>
      <c r="D74" s="434"/>
      <c r="E74" s="434"/>
      <c r="F74" s="411" t="s">
        <v>127</v>
      </c>
      <c r="G74" s="410"/>
      <c r="H74" s="410"/>
      <c r="I74" s="412">
        <f>I72</f>
        <v>40</v>
      </c>
      <c r="J74" s="409"/>
      <c r="K74" s="93" t="s">
        <v>85</v>
      </c>
      <c r="L74" s="157">
        <f>18/1000</f>
        <v>1.7999999999999999E-2</v>
      </c>
      <c r="M74" s="149" t="s">
        <v>195</v>
      </c>
      <c r="N74" s="94" t="s">
        <v>36</v>
      </c>
      <c r="O74" s="158">
        <f>I74*L74</f>
        <v>0.72</v>
      </c>
      <c r="P74" s="305" t="s">
        <v>65</v>
      </c>
      <c r="R74" s="243"/>
    </row>
    <row r="75" spans="1:18" ht="25.5" hidden="1" x14ac:dyDescent="0.2">
      <c r="A75" s="473"/>
      <c r="B75" s="432"/>
      <c r="C75" s="433"/>
      <c r="D75" s="434"/>
      <c r="E75" s="434"/>
      <c r="F75" s="411"/>
      <c r="G75" s="410"/>
      <c r="H75" s="410"/>
      <c r="I75" s="412"/>
      <c r="J75" s="409"/>
      <c r="K75" s="93" t="s">
        <v>85</v>
      </c>
      <c r="L75" s="157">
        <f>5.2/1000</f>
        <v>5.1999999999999998E-3</v>
      </c>
      <c r="M75" s="149" t="s">
        <v>197</v>
      </c>
      <c r="N75" s="94" t="s">
        <v>36</v>
      </c>
      <c r="O75" s="158">
        <f>I74*L75</f>
        <v>0.20799999999999999</v>
      </c>
      <c r="P75" s="305" t="s">
        <v>65</v>
      </c>
      <c r="R75" s="243"/>
    </row>
    <row r="76" spans="1:18" ht="25.5" hidden="1" x14ac:dyDescent="0.2">
      <c r="A76" s="471">
        <v>8</v>
      </c>
      <c r="B76" s="293" t="s">
        <v>248</v>
      </c>
      <c r="C76" s="79" t="s">
        <v>59</v>
      </c>
      <c r="D76" s="74">
        <v>133</v>
      </c>
      <c r="E76" s="74">
        <v>10</v>
      </c>
      <c r="F76" s="88"/>
      <c r="G76" s="88"/>
      <c r="H76" s="248">
        <f>H78+H81</f>
        <v>180</v>
      </c>
      <c r="I76" s="153"/>
      <c r="J76" s="88"/>
      <c r="K76" s="88"/>
      <c r="L76" s="86"/>
      <c r="M76" s="122"/>
      <c r="N76" s="154"/>
      <c r="O76" s="86"/>
      <c r="P76" s="36"/>
      <c r="R76" s="243"/>
    </row>
    <row r="77" spans="1:18" ht="12.75" hidden="1" x14ac:dyDescent="0.2">
      <c r="A77" s="472"/>
      <c r="B77" s="327" t="s">
        <v>129</v>
      </c>
      <c r="C77" s="89"/>
      <c r="D77" s="411" t="s">
        <v>52</v>
      </c>
      <c r="E77" s="411"/>
      <c r="F77" s="233" t="s">
        <v>46</v>
      </c>
      <c r="G77" s="88"/>
      <c r="H77" s="88"/>
      <c r="I77" s="88"/>
      <c r="J77" s="42">
        <f>J78</f>
        <v>0.28999999999999998</v>
      </c>
      <c r="K77" s="90"/>
      <c r="L77" s="90"/>
      <c r="M77" s="126"/>
      <c r="N77" s="126"/>
      <c r="O77" s="126"/>
      <c r="P77" s="126"/>
      <c r="R77" s="243"/>
    </row>
    <row r="78" spans="1:18" ht="12.75" hidden="1" x14ac:dyDescent="0.2">
      <c r="A78" s="472"/>
      <c r="B78" s="495" t="s">
        <v>130</v>
      </c>
      <c r="C78" s="433"/>
      <c r="D78" s="411" t="s">
        <v>52</v>
      </c>
      <c r="E78" s="411"/>
      <c r="F78" s="411" t="s">
        <v>46</v>
      </c>
      <c r="G78" s="410"/>
      <c r="H78" s="410">
        <v>50</v>
      </c>
      <c r="I78" s="410"/>
      <c r="J78" s="512">
        <f>((D76/1000)+(H78/1000))*(H78/1000)*3.14*E76</f>
        <v>0.28999999999999998</v>
      </c>
      <c r="K78" s="318" t="s">
        <v>239</v>
      </c>
      <c r="L78" s="156">
        <v>1.19</v>
      </c>
      <c r="M78" s="43" t="s">
        <v>131</v>
      </c>
      <c r="N78" s="94" t="s">
        <v>31</v>
      </c>
      <c r="O78" s="158">
        <f>J78*L78*130</f>
        <v>44.863</v>
      </c>
      <c r="P78" s="305" t="s">
        <v>71</v>
      </c>
      <c r="R78" s="243"/>
    </row>
    <row r="79" spans="1:18" ht="12.75" hidden="1" x14ac:dyDescent="0.2">
      <c r="A79" s="472"/>
      <c r="B79" s="495"/>
      <c r="C79" s="433"/>
      <c r="D79" s="411"/>
      <c r="E79" s="411"/>
      <c r="F79" s="411"/>
      <c r="G79" s="410"/>
      <c r="H79" s="410"/>
      <c r="I79" s="410"/>
      <c r="J79" s="512"/>
      <c r="K79" s="93" t="s">
        <v>133</v>
      </c>
      <c r="L79" s="157">
        <f>2.9/1000</f>
        <v>2.8999999999999998E-3</v>
      </c>
      <c r="M79" s="226" t="s">
        <v>200</v>
      </c>
      <c r="N79" s="94" t="s">
        <v>36</v>
      </c>
      <c r="O79" s="163">
        <f>J78*L79</f>
        <v>8.0000000000000004E-4</v>
      </c>
      <c r="P79" s="305" t="s">
        <v>65</v>
      </c>
      <c r="R79" s="243"/>
    </row>
    <row r="80" spans="1:18" ht="25.5" hidden="1" x14ac:dyDescent="0.2">
      <c r="A80" s="472"/>
      <c r="B80" s="327" t="s">
        <v>134</v>
      </c>
      <c r="C80" s="89"/>
      <c r="D80" s="411" t="s">
        <v>52</v>
      </c>
      <c r="E80" s="411"/>
      <c r="F80" s="233" t="s">
        <v>50</v>
      </c>
      <c r="G80" s="159"/>
      <c r="H80" s="159"/>
      <c r="I80" s="160"/>
      <c r="J80" s="161">
        <f>J81</f>
        <v>1.5</v>
      </c>
      <c r="K80" s="162"/>
      <c r="L80" s="162"/>
      <c r="M80" s="159"/>
      <c r="N80" s="159"/>
      <c r="O80" s="159"/>
      <c r="P80" s="317"/>
      <c r="R80" s="244"/>
    </row>
    <row r="81" spans="1:16" ht="38.25" hidden="1" x14ac:dyDescent="0.2">
      <c r="A81" s="472"/>
      <c r="B81" s="430" t="s">
        <v>80</v>
      </c>
      <c r="C81" s="433"/>
      <c r="D81" s="411" t="s">
        <v>52</v>
      </c>
      <c r="E81" s="411"/>
      <c r="F81" s="411" t="s">
        <v>50</v>
      </c>
      <c r="G81" s="411" t="s">
        <v>29</v>
      </c>
      <c r="H81" s="410">
        <v>130</v>
      </c>
      <c r="I81" s="410"/>
      <c r="J81" s="435">
        <f>3.14*((D76/1000+2*H78/1000)+H81/1000)*H81/1000*E76</f>
        <v>1.5</v>
      </c>
      <c r="K81" s="93" t="s">
        <v>106</v>
      </c>
      <c r="L81" s="156">
        <v>1.24</v>
      </c>
      <c r="M81" s="227" t="s">
        <v>201</v>
      </c>
      <c r="N81" s="94" t="s">
        <v>135</v>
      </c>
      <c r="O81" s="158">
        <f>J81*L81</f>
        <v>1.86</v>
      </c>
      <c r="P81" s="305" t="s">
        <v>65</v>
      </c>
    </row>
    <row r="82" spans="1:16" ht="12.75" hidden="1" x14ac:dyDescent="0.2">
      <c r="A82" s="472"/>
      <c r="B82" s="430"/>
      <c r="C82" s="433"/>
      <c r="D82" s="411"/>
      <c r="E82" s="411"/>
      <c r="F82" s="411"/>
      <c r="G82" s="411"/>
      <c r="H82" s="410"/>
      <c r="I82" s="410"/>
      <c r="J82" s="435"/>
      <c r="K82" s="93" t="s">
        <v>107</v>
      </c>
      <c r="L82" s="157">
        <f>2.9/1000</f>
        <v>2.8999999999999998E-3</v>
      </c>
      <c r="M82" s="226" t="s">
        <v>200</v>
      </c>
      <c r="N82" s="94" t="s">
        <v>36</v>
      </c>
      <c r="O82" s="163">
        <f>J81*L82</f>
        <v>4.4000000000000003E-3</v>
      </c>
      <c r="P82" s="305" t="s">
        <v>65</v>
      </c>
    </row>
    <row r="83" spans="1:16" ht="25.5" hidden="1" x14ac:dyDescent="0.2">
      <c r="A83" s="472"/>
      <c r="B83" s="459" t="s">
        <v>32</v>
      </c>
      <c r="C83" s="433"/>
      <c r="D83" s="410"/>
      <c r="E83" s="410"/>
      <c r="F83" s="411" t="s">
        <v>29</v>
      </c>
      <c r="G83" s="411" t="s">
        <v>127</v>
      </c>
      <c r="H83" s="410"/>
      <c r="I83" s="513">
        <f>3.14*((D76/1000)+2*(H78/1000+H81/1000))*E76</f>
        <v>15</v>
      </c>
      <c r="J83" s="409"/>
      <c r="K83" s="93" t="s">
        <v>83</v>
      </c>
      <c r="L83" s="157">
        <v>1.05</v>
      </c>
      <c r="M83" s="149" t="s">
        <v>221</v>
      </c>
      <c r="N83" s="94" t="s">
        <v>136</v>
      </c>
      <c r="O83" s="158">
        <f>I83*L83</f>
        <v>15.75</v>
      </c>
      <c r="P83" s="305" t="s">
        <v>65</v>
      </c>
    </row>
    <row r="84" spans="1:16" ht="12.75" hidden="1" x14ac:dyDescent="0.2">
      <c r="A84" s="472"/>
      <c r="B84" s="459"/>
      <c r="C84" s="433"/>
      <c r="D84" s="410"/>
      <c r="E84" s="410"/>
      <c r="F84" s="411"/>
      <c r="G84" s="411"/>
      <c r="H84" s="410"/>
      <c r="I84" s="514"/>
      <c r="J84" s="409"/>
      <c r="K84" s="93" t="s">
        <v>84</v>
      </c>
      <c r="L84" s="157">
        <f>0.03/1000</f>
        <v>3.0000000000000001E-5</v>
      </c>
      <c r="M84" s="226" t="s">
        <v>200</v>
      </c>
      <c r="N84" s="94" t="s">
        <v>36</v>
      </c>
      <c r="O84" s="163">
        <f>I83*L84</f>
        <v>5.0000000000000001E-4</v>
      </c>
      <c r="P84" s="305" t="s">
        <v>65</v>
      </c>
    </row>
    <row r="85" spans="1:16" ht="25.5" hidden="1" x14ac:dyDescent="0.2">
      <c r="A85" s="472"/>
      <c r="B85" s="430" t="s">
        <v>34</v>
      </c>
      <c r="C85" s="433"/>
      <c r="D85" s="434"/>
      <c r="E85" s="434"/>
      <c r="F85" s="411" t="s">
        <v>127</v>
      </c>
      <c r="G85" s="410"/>
      <c r="H85" s="410"/>
      <c r="I85" s="412">
        <f>I83</f>
        <v>15</v>
      </c>
      <c r="J85" s="409"/>
      <c r="K85" s="93" t="s">
        <v>85</v>
      </c>
      <c r="L85" s="157">
        <f>18/1000</f>
        <v>1.7999999999999999E-2</v>
      </c>
      <c r="M85" s="149" t="s">
        <v>195</v>
      </c>
      <c r="N85" s="94" t="s">
        <v>36</v>
      </c>
      <c r="O85" s="158">
        <f>I85*L85</f>
        <v>0.27</v>
      </c>
      <c r="P85" s="305" t="s">
        <v>65</v>
      </c>
    </row>
    <row r="86" spans="1:16" ht="25.5" hidden="1" x14ac:dyDescent="0.2">
      <c r="A86" s="473"/>
      <c r="B86" s="432"/>
      <c r="C86" s="433"/>
      <c r="D86" s="434"/>
      <c r="E86" s="434"/>
      <c r="F86" s="411"/>
      <c r="G86" s="410"/>
      <c r="H86" s="410"/>
      <c r="I86" s="412"/>
      <c r="J86" s="409"/>
      <c r="K86" s="93" t="s">
        <v>85</v>
      </c>
      <c r="L86" s="157">
        <f>5.2/1000</f>
        <v>5.1999999999999998E-3</v>
      </c>
      <c r="M86" s="149" t="s">
        <v>197</v>
      </c>
      <c r="N86" s="94" t="s">
        <v>36</v>
      </c>
      <c r="O86" s="158">
        <f>I85*L86</f>
        <v>7.8E-2</v>
      </c>
      <c r="P86" s="305" t="s">
        <v>65</v>
      </c>
    </row>
    <row r="87" spans="1:16" ht="25.5" hidden="1" x14ac:dyDescent="0.2">
      <c r="A87" s="471">
        <v>9</v>
      </c>
      <c r="B87" s="293" t="s">
        <v>249</v>
      </c>
      <c r="C87" s="79" t="s">
        <v>59</v>
      </c>
      <c r="D87" s="74">
        <v>159</v>
      </c>
      <c r="E87" s="74">
        <v>16</v>
      </c>
      <c r="F87" s="88"/>
      <c r="G87" s="88"/>
      <c r="H87" s="88">
        <f>H89+H92</f>
        <v>180</v>
      </c>
      <c r="I87" s="153"/>
      <c r="J87" s="88"/>
      <c r="K87" s="88"/>
      <c r="L87" s="88"/>
      <c r="M87" s="43"/>
      <c r="N87" s="159"/>
      <c r="O87" s="88"/>
      <c r="P87" s="36"/>
    </row>
    <row r="88" spans="1:16" ht="12.75" hidden="1" x14ac:dyDescent="0.2">
      <c r="A88" s="472"/>
      <c r="B88" s="327" t="s">
        <v>129</v>
      </c>
      <c r="C88" s="89"/>
      <c r="D88" s="411" t="s">
        <v>52</v>
      </c>
      <c r="E88" s="411"/>
      <c r="F88" s="233" t="s">
        <v>46</v>
      </c>
      <c r="G88" s="88"/>
      <c r="H88" s="88"/>
      <c r="I88" s="88"/>
      <c r="J88" s="42">
        <f>J89</f>
        <v>0.53</v>
      </c>
      <c r="K88" s="90"/>
      <c r="L88" s="90"/>
      <c r="M88" s="126"/>
      <c r="N88" s="126"/>
      <c r="O88" s="126"/>
      <c r="P88" s="126"/>
    </row>
    <row r="89" spans="1:16" ht="12.75" hidden="1" x14ac:dyDescent="0.2">
      <c r="A89" s="472"/>
      <c r="B89" s="495" t="s">
        <v>130</v>
      </c>
      <c r="C89" s="433"/>
      <c r="D89" s="411" t="s">
        <v>52</v>
      </c>
      <c r="E89" s="411"/>
      <c r="F89" s="411" t="s">
        <v>46</v>
      </c>
      <c r="G89" s="410"/>
      <c r="H89" s="410">
        <v>50</v>
      </c>
      <c r="I89" s="410"/>
      <c r="J89" s="512">
        <f>((D87/1000)+(H89/1000))*(H89/1000)*3.14*E87</f>
        <v>0.53</v>
      </c>
      <c r="K89" s="318" t="s">
        <v>239</v>
      </c>
      <c r="L89" s="156">
        <v>1.19</v>
      </c>
      <c r="M89" s="43" t="s">
        <v>131</v>
      </c>
      <c r="N89" s="94" t="s">
        <v>31</v>
      </c>
      <c r="O89" s="158">
        <f>J89*L89*130</f>
        <v>81.991</v>
      </c>
      <c r="P89" s="305" t="s">
        <v>71</v>
      </c>
    </row>
    <row r="90" spans="1:16" ht="12.75" hidden="1" x14ac:dyDescent="0.2">
      <c r="A90" s="472"/>
      <c r="B90" s="495"/>
      <c r="C90" s="433"/>
      <c r="D90" s="411"/>
      <c r="E90" s="411"/>
      <c r="F90" s="411"/>
      <c r="G90" s="410"/>
      <c r="H90" s="410"/>
      <c r="I90" s="410"/>
      <c r="J90" s="512"/>
      <c r="K90" s="93" t="s">
        <v>133</v>
      </c>
      <c r="L90" s="157">
        <f>2.9/1000</f>
        <v>2.8999999999999998E-3</v>
      </c>
      <c r="M90" s="226" t="s">
        <v>200</v>
      </c>
      <c r="N90" s="94" t="s">
        <v>36</v>
      </c>
      <c r="O90" s="163">
        <f>J89*L90</f>
        <v>1.5E-3</v>
      </c>
      <c r="P90" s="305" t="s">
        <v>65</v>
      </c>
    </row>
    <row r="91" spans="1:16" ht="25.5" hidden="1" x14ac:dyDescent="0.2">
      <c r="A91" s="472"/>
      <c r="B91" s="327" t="s">
        <v>134</v>
      </c>
      <c r="C91" s="89"/>
      <c r="D91" s="411" t="s">
        <v>52</v>
      </c>
      <c r="E91" s="411"/>
      <c r="F91" s="233" t="s">
        <v>50</v>
      </c>
      <c r="G91" s="159"/>
      <c r="H91" s="159"/>
      <c r="I91" s="160"/>
      <c r="J91" s="155">
        <f>J92</f>
        <v>2.5</v>
      </c>
      <c r="K91" s="162"/>
      <c r="L91" s="162"/>
      <c r="M91" s="159"/>
      <c r="N91" s="159"/>
      <c r="O91" s="159"/>
      <c r="P91" s="317"/>
    </row>
    <row r="92" spans="1:16" ht="38.25" hidden="1" x14ac:dyDescent="0.2">
      <c r="A92" s="472"/>
      <c r="B92" s="430" t="s">
        <v>80</v>
      </c>
      <c r="C92" s="433"/>
      <c r="D92" s="411" t="s">
        <v>52</v>
      </c>
      <c r="E92" s="411"/>
      <c r="F92" s="411" t="s">
        <v>50</v>
      </c>
      <c r="G92" s="411" t="s">
        <v>29</v>
      </c>
      <c r="H92" s="410">
        <v>130</v>
      </c>
      <c r="I92" s="410"/>
      <c r="J92" s="435">
        <f>3.14*((D87/1000+2*H89/1000)+H92/1000)*H92/1000*E87</f>
        <v>2.5</v>
      </c>
      <c r="K92" s="93" t="s">
        <v>106</v>
      </c>
      <c r="L92" s="156">
        <v>1.24</v>
      </c>
      <c r="M92" s="227" t="s">
        <v>201</v>
      </c>
      <c r="N92" s="94" t="s">
        <v>135</v>
      </c>
      <c r="O92" s="158">
        <f>J92*L92</f>
        <v>3.1</v>
      </c>
      <c r="P92" s="305" t="s">
        <v>65</v>
      </c>
    </row>
    <row r="93" spans="1:16" ht="12.75" hidden="1" x14ac:dyDescent="0.2">
      <c r="A93" s="472"/>
      <c r="B93" s="430"/>
      <c r="C93" s="433"/>
      <c r="D93" s="411"/>
      <c r="E93" s="411"/>
      <c r="F93" s="411"/>
      <c r="G93" s="411"/>
      <c r="H93" s="410"/>
      <c r="I93" s="410"/>
      <c r="J93" s="435"/>
      <c r="K93" s="93" t="s">
        <v>107</v>
      </c>
      <c r="L93" s="157">
        <f>2.9/1000</f>
        <v>2.8999999999999998E-3</v>
      </c>
      <c r="M93" s="226" t="s">
        <v>200</v>
      </c>
      <c r="N93" s="94" t="s">
        <v>36</v>
      </c>
      <c r="O93" s="163">
        <f>J92*L93</f>
        <v>7.3000000000000001E-3</v>
      </c>
      <c r="P93" s="305" t="s">
        <v>65</v>
      </c>
    </row>
    <row r="94" spans="1:16" ht="25.5" hidden="1" x14ac:dyDescent="0.2">
      <c r="A94" s="472"/>
      <c r="B94" s="459" t="s">
        <v>32</v>
      </c>
      <c r="C94" s="433"/>
      <c r="D94" s="410"/>
      <c r="E94" s="410"/>
      <c r="F94" s="411" t="s">
        <v>29</v>
      </c>
      <c r="G94" s="411" t="s">
        <v>127</v>
      </c>
      <c r="H94" s="410"/>
      <c r="I94" s="412">
        <f>3.14*((D87/1000)+2*(H89/1000+H92/1000))*E87</f>
        <v>26</v>
      </c>
      <c r="J94" s="409"/>
      <c r="K94" s="93" t="s">
        <v>83</v>
      </c>
      <c r="L94" s="157">
        <v>1.05</v>
      </c>
      <c r="M94" s="149" t="s">
        <v>221</v>
      </c>
      <c r="N94" s="94" t="s">
        <v>136</v>
      </c>
      <c r="O94" s="150">
        <f>I94*L94</f>
        <v>27.3</v>
      </c>
      <c r="P94" s="305" t="s">
        <v>65</v>
      </c>
    </row>
    <row r="95" spans="1:16" ht="12.75" hidden="1" x14ac:dyDescent="0.2">
      <c r="A95" s="472"/>
      <c r="B95" s="459"/>
      <c r="C95" s="433"/>
      <c r="D95" s="410"/>
      <c r="E95" s="410"/>
      <c r="F95" s="411"/>
      <c r="G95" s="411"/>
      <c r="H95" s="410"/>
      <c r="I95" s="412"/>
      <c r="J95" s="409"/>
      <c r="K95" s="93" t="s">
        <v>84</v>
      </c>
      <c r="L95" s="157">
        <f>0.03/1000</f>
        <v>3.0000000000000001E-5</v>
      </c>
      <c r="M95" s="226" t="s">
        <v>200</v>
      </c>
      <c r="N95" s="94" t="s">
        <v>36</v>
      </c>
      <c r="O95" s="163">
        <f>I94*L95</f>
        <v>8.0000000000000004E-4</v>
      </c>
      <c r="P95" s="305" t="s">
        <v>65</v>
      </c>
    </row>
    <row r="96" spans="1:16" ht="25.5" hidden="1" x14ac:dyDescent="0.2">
      <c r="A96" s="472"/>
      <c r="B96" s="430" t="s">
        <v>34</v>
      </c>
      <c r="C96" s="433"/>
      <c r="D96" s="434"/>
      <c r="E96" s="434"/>
      <c r="F96" s="411" t="s">
        <v>127</v>
      </c>
      <c r="G96" s="410"/>
      <c r="H96" s="410"/>
      <c r="I96" s="412">
        <f>I94</f>
        <v>26</v>
      </c>
      <c r="J96" s="409"/>
      <c r="K96" s="93" t="s">
        <v>85</v>
      </c>
      <c r="L96" s="157">
        <f>18/1000</f>
        <v>1.7999999999999999E-2</v>
      </c>
      <c r="M96" s="149" t="s">
        <v>195</v>
      </c>
      <c r="N96" s="94" t="s">
        <v>36</v>
      </c>
      <c r="O96" s="158">
        <f>I96*L96</f>
        <v>0.46800000000000003</v>
      </c>
      <c r="P96" s="305" t="s">
        <v>65</v>
      </c>
    </row>
    <row r="97" spans="1:17" ht="25.5" hidden="1" x14ac:dyDescent="0.2">
      <c r="A97" s="473"/>
      <c r="B97" s="432"/>
      <c r="C97" s="433"/>
      <c r="D97" s="434"/>
      <c r="E97" s="434"/>
      <c r="F97" s="411"/>
      <c r="G97" s="410"/>
      <c r="H97" s="410"/>
      <c r="I97" s="412"/>
      <c r="J97" s="409"/>
      <c r="K97" s="93" t="s">
        <v>85</v>
      </c>
      <c r="L97" s="157">
        <f>5.2/1000</f>
        <v>5.1999999999999998E-3</v>
      </c>
      <c r="M97" s="149" t="s">
        <v>197</v>
      </c>
      <c r="N97" s="94" t="s">
        <v>36</v>
      </c>
      <c r="O97" s="158">
        <f>I96*L97</f>
        <v>0.13500000000000001</v>
      </c>
      <c r="P97" s="305" t="s">
        <v>65</v>
      </c>
    </row>
    <row r="98" spans="1:17" ht="12.75" hidden="1" x14ac:dyDescent="0.2">
      <c r="A98" s="471">
        <v>10</v>
      </c>
      <c r="B98" s="293" t="s">
        <v>250</v>
      </c>
      <c r="C98" s="89" t="s">
        <v>59</v>
      </c>
      <c r="D98" s="88">
        <v>273</v>
      </c>
      <c r="E98" s="88">
        <v>3</v>
      </c>
      <c r="F98" s="88"/>
      <c r="G98" s="88"/>
      <c r="H98" s="88">
        <f>H100+H103</f>
        <v>180</v>
      </c>
      <c r="I98" s="153"/>
      <c r="J98" s="88"/>
      <c r="K98" s="88"/>
      <c r="L98" s="86"/>
      <c r="M98" s="122"/>
      <c r="N98" s="154"/>
      <c r="O98" s="88"/>
      <c r="P98" s="123"/>
      <c r="Q98" s="41"/>
    </row>
    <row r="99" spans="1:17" ht="12.75" hidden="1" x14ac:dyDescent="0.2">
      <c r="A99" s="472"/>
      <c r="B99" s="327" t="s">
        <v>129</v>
      </c>
      <c r="C99" s="89"/>
      <c r="D99" s="411" t="s">
        <v>52</v>
      </c>
      <c r="E99" s="411"/>
      <c r="F99" s="233" t="s">
        <v>46</v>
      </c>
      <c r="G99" s="88"/>
      <c r="H99" s="88"/>
      <c r="I99" s="208"/>
      <c r="J99" s="212">
        <f>J100</f>
        <v>0.15</v>
      </c>
      <c r="K99" s="90"/>
      <c r="L99" s="90"/>
      <c r="M99" s="126"/>
      <c r="N99" s="126"/>
      <c r="O99" s="126"/>
      <c r="P99" s="126"/>
      <c r="Q99" s="44"/>
    </row>
    <row r="100" spans="1:17" ht="12.75" hidden="1" x14ac:dyDescent="0.2">
      <c r="A100" s="472"/>
      <c r="B100" s="495" t="s">
        <v>130</v>
      </c>
      <c r="C100" s="433"/>
      <c r="D100" s="411" t="s">
        <v>52</v>
      </c>
      <c r="E100" s="411"/>
      <c r="F100" s="411" t="s">
        <v>46</v>
      </c>
      <c r="G100" s="410"/>
      <c r="H100" s="410">
        <v>50</v>
      </c>
      <c r="I100" s="410"/>
      <c r="J100" s="512">
        <f>((D98/1000)+(H100/1000))*(H100/1000)*3.14*E98</f>
        <v>0.15</v>
      </c>
      <c r="K100" s="318" t="s">
        <v>239</v>
      </c>
      <c r="L100" s="156">
        <v>1.19</v>
      </c>
      <c r="M100" s="43" t="s">
        <v>131</v>
      </c>
      <c r="N100" s="94" t="s">
        <v>31</v>
      </c>
      <c r="O100" s="158">
        <f>J99*L100*130</f>
        <v>23.204999999999998</v>
      </c>
      <c r="P100" s="305" t="s">
        <v>71</v>
      </c>
    </row>
    <row r="101" spans="1:17" ht="12.75" hidden="1" x14ac:dyDescent="0.2">
      <c r="A101" s="472"/>
      <c r="B101" s="495"/>
      <c r="C101" s="433"/>
      <c r="D101" s="411"/>
      <c r="E101" s="411"/>
      <c r="F101" s="411"/>
      <c r="G101" s="410"/>
      <c r="H101" s="410"/>
      <c r="I101" s="410"/>
      <c r="J101" s="512"/>
      <c r="K101" s="93" t="s">
        <v>133</v>
      </c>
      <c r="L101" s="157">
        <f>2.9/1000</f>
        <v>2.8999999999999998E-3</v>
      </c>
      <c r="M101" s="226" t="s">
        <v>200</v>
      </c>
      <c r="N101" s="94" t="s">
        <v>36</v>
      </c>
      <c r="O101" s="163">
        <f>J99*L101</f>
        <v>4.0000000000000002E-4</v>
      </c>
      <c r="P101" s="305" t="s">
        <v>65</v>
      </c>
    </row>
    <row r="102" spans="1:17" ht="25.5" hidden="1" x14ac:dyDescent="0.2">
      <c r="A102" s="472"/>
      <c r="B102" s="327" t="s">
        <v>134</v>
      </c>
      <c r="C102" s="89"/>
      <c r="D102" s="411" t="s">
        <v>52</v>
      </c>
      <c r="E102" s="411"/>
      <c r="F102" s="233" t="s">
        <v>50</v>
      </c>
      <c r="G102" s="159"/>
      <c r="H102" s="159"/>
      <c r="I102" s="160"/>
      <c r="J102" s="213">
        <f>J103</f>
        <v>0.6</v>
      </c>
      <c r="K102" s="162"/>
      <c r="L102" s="162"/>
      <c r="M102" s="159"/>
      <c r="N102" s="159"/>
      <c r="O102" s="159"/>
      <c r="P102" s="317"/>
    </row>
    <row r="103" spans="1:17" ht="38.25" hidden="1" x14ac:dyDescent="0.2">
      <c r="A103" s="472"/>
      <c r="B103" s="430" t="s">
        <v>80</v>
      </c>
      <c r="C103" s="433"/>
      <c r="D103" s="411" t="s">
        <v>52</v>
      </c>
      <c r="E103" s="411"/>
      <c r="F103" s="411" t="s">
        <v>50</v>
      </c>
      <c r="G103" s="411" t="s">
        <v>29</v>
      </c>
      <c r="H103" s="410">
        <v>130</v>
      </c>
      <c r="I103" s="410"/>
      <c r="J103" s="435">
        <f>3.14*((D98/1000+2*H100/1000)+H103/1000)*H103/1000*E98</f>
        <v>0.6</v>
      </c>
      <c r="K103" s="93" t="s">
        <v>106</v>
      </c>
      <c r="L103" s="156">
        <v>1.24</v>
      </c>
      <c r="M103" s="227" t="s">
        <v>212</v>
      </c>
      <c r="N103" s="94" t="s">
        <v>135</v>
      </c>
      <c r="O103" s="158">
        <f>J103*L103</f>
        <v>0.74399999999999999</v>
      </c>
      <c r="P103" s="305" t="s">
        <v>65</v>
      </c>
    </row>
    <row r="104" spans="1:17" ht="12.75" hidden="1" x14ac:dyDescent="0.2">
      <c r="A104" s="472"/>
      <c r="B104" s="430"/>
      <c r="C104" s="433"/>
      <c r="D104" s="411"/>
      <c r="E104" s="411"/>
      <c r="F104" s="411"/>
      <c r="G104" s="411"/>
      <c r="H104" s="410"/>
      <c r="I104" s="410"/>
      <c r="J104" s="435"/>
      <c r="K104" s="93" t="s">
        <v>107</v>
      </c>
      <c r="L104" s="157">
        <f>2.9/1000</f>
        <v>2.8999999999999998E-3</v>
      </c>
      <c r="M104" s="226" t="s">
        <v>200</v>
      </c>
      <c r="N104" s="94" t="s">
        <v>36</v>
      </c>
      <c r="O104" s="163">
        <f>J103*L104</f>
        <v>1.6999999999999999E-3</v>
      </c>
      <c r="P104" s="305" t="s">
        <v>65</v>
      </c>
    </row>
    <row r="105" spans="1:17" ht="25.5" hidden="1" x14ac:dyDescent="0.2">
      <c r="A105" s="472"/>
      <c r="B105" s="459" t="s">
        <v>32</v>
      </c>
      <c r="C105" s="433"/>
      <c r="D105" s="410"/>
      <c r="E105" s="410"/>
      <c r="F105" s="411" t="s">
        <v>29</v>
      </c>
      <c r="G105" s="411" t="s">
        <v>127</v>
      </c>
      <c r="H105" s="410"/>
      <c r="I105" s="412">
        <f>3.14*((D98/1000)+2*(H100/1000+H103/1000))*E98</f>
        <v>6</v>
      </c>
      <c r="J105" s="409"/>
      <c r="K105" s="93" t="s">
        <v>83</v>
      </c>
      <c r="L105" s="157">
        <v>1.05</v>
      </c>
      <c r="M105" s="149" t="s">
        <v>221</v>
      </c>
      <c r="N105" s="94" t="s">
        <v>136</v>
      </c>
      <c r="O105" s="150">
        <f>I105*L105</f>
        <v>6.3</v>
      </c>
      <c r="P105" s="305" t="s">
        <v>65</v>
      </c>
    </row>
    <row r="106" spans="1:17" ht="12.75" hidden="1" x14ac:dyDescent="0.2">
      <c r="A106" s="472"/>
      <c r="B106" s="459"/>
      <c r="C106" s="433"/>
      <c r="D106" s="410"/>
      <c r="E106" s="410"/>
      <c r="F106" s="411"/>
      <c r="G106" s="411"/>
      <c r="H106" s="410"/>
      <c r="I106" s="412"/>
      <c r="J106" s="409"/>
      <c r="K106" s="93" t="s">
        <v>84</v>
      </c>
      <c r="L106" s="157">
        <f>0.03/1000</f>
        <v>3.0000000000000001E-5</v>
      </c>
      <c r="M106" s="226" t="s">
        <v>200</v>
      </c>
      <c r="N106" s="94" t="s">
        <v>36</v>
      </c>
      <c r="O106" s="163">
        <f>I105*L106</f>
        <v>2.0000000000000001E-4</v>
      </c>
      <c r="P106" s="305" t="s">
        <v>65</v>
      </c>
    </row>
    <row r="107" spans="1:17" ht="25.5" hidden="1" x14ac:dyDescent="0.2">
      <c r="A107" s="472"/>
      <c r="B107" s="430" t="s">
        <v>34</v>
      </c>
      <c r="C107" s="433"/>
      <c r="D107" s="434"/>
      <c r="E107" s="434"/>
      <c r="F107" s="411" t="s">
        <v>127</v>
      </c>
      <c r="G107" s="410"/>
      <c r="H107" s="410"/>
      <c r="I107" s="412">
        <f>I105</f>
        <v>6</v>
      </c>
      <c r="J107" s="409"/>
      <c r="K107" s="93" t="s">
        <v>85</v>
      </c>
      <c r="L107" s="157">
        <f>18/1000</f>
        <v>1.7999999999999999E-2</v>
      </c>
      <c r="M107" s="149" t="s">
        <v>195</v>
      </c>
      <c r="N107" s="94" t="s">
        <v>36</v>
      </c>
      <c r="O107" s="158">
        <f>I107*L107</f>
        <v>0.108</v>
      </c>
      <c r="P107" s="305" t="s">
        <v>65</v>
      </c>
    </row>
    <row r="108" spans="1:17" ht="25.5" hidden="1" x14ac:dyDescent="0.2">
      <c r="A108" s="473"/>
      <c r="B108" s="432"/>
      <c r="C108" s="433"/>
      <c r="D108" s="434"/>
      <c r="E108" s="434"/>
      <c r="F108" s="411"/>
      <c r="G108" s="410"/>
      <c r="H108" s="410"/>
      <c r="I108" s="412"/>
      <c r="J108" s="409"/>
      <c r="K108" s="93" t="s">
        <v>85</v>
      </c>
      <c r="L108" s="157">
        <f>5.2/1000</f>
        <v>5.1999999999999998E-3</v>
      </c>
      <c r="M108" s="149" t="s">
        <v>197</v>
      </c>
      <c r="N108" s="94" t="s">
        <v>36</v>
      </c>
      <c r="O108" s="158">
        <f>I107*L108</f>
        <v>3.1E-2</v>
      </c>
      <c r="P108" s="305" t="s">
        <v>65</v>
      </c>
    </row>
    <row r="109" spans="1:17" ht="12.75" hidden="1" x14ac:dyDescent="0.2">
      <c r="A109" s="471">
        <v>11</v>
      </c>
      <c r="B109" s="292" t="s">
        <v>251</v>
      </c>
      <c r="C109" s="74">
        <v>250</v>
      </c>
      <c r="D109" s="74">
        <v>32</v>
      </c>
      <c r="E109" s="74">
        <v>20</v>
      </c>
      <c r="F109" s="46"/>
      <c r="G109" s="46"/>
      <c r="H109" s="74">
        <v>50</v>
      </c>
      <c r="I109" s="42"/>
      <c r="J109" s="74"/>
      <c r="K109" s="104"/>
      <c r="L109" s="104"/>
      <c r="M109" s="421"/>
      <c r="N109" s="422"/>
      <c r="O109" s="74"/>
      <c r="P109" s="104"/>
      <c r="Q109" s="47"/>
    </row>
    <row r="110" spans="1:17" ht="19.5" hidden="1" customHeight="1" x14ac:dyDescent="0.2">
      <c r="A110" s="472"/>
      <c r="B110" s="331" t="s">
        <v>91</v>
      </c>
      <c r="C110" s="74"/>
      <c r="D110" s="104"/>
      <c r="E110" s="105"/>
      <c r="F110" s="164"/>
      <c r="G110" s="46"/>
      <c r="H110" s="74"/>
      <c r="I110" s="42">
        <f>3.14*(D109/1000+2*H109/1000)*1.1*E109</f>
        <v>9.1199999999999992</v>
      </c>
      <c r="J110" s="74"/>
      <c r="K110" s="104"/>
      <c r="L110" s="104"/>
      <c r="M110" s="165"/>
      <c r="N110" s="166"/>
      <c r="O110" s="74"/>
      <c r="P110" s="104"/>
      <c r="Q110" s="47"/>
    </row>
    <row r="111" spans="1:17" ht="25.5" hidden="1" customHeight="1" x14ac:dyDescent="0.2">
      <c r="A111" s="472"/>
      <c r="B111" s="327" t="s">
        <v>92</v>
      </c>
      <c r="C111" s="74"/>
      <c r="D111" s="555" t="s">
        <v>52</v>
      </c>
      <c r="E111" s="556"/>
      <c r="F111" s="233" t="s">
        <v>72</v>
      </c>
      <c r="G111" s="167"/>
      <c r="H111" s="74"/>
      <c r="I111" s="42"/>
      <c r="J111" s="42">
        <f>J112</f>
        <v>0.26</v>
      </c>
      <c r="K111" s="104"/>
      <c r="L111" s="104"/>
      <c r="M111" s="165"/>
      <c r="N111" s="166"/>
      <c r="O111" s="74"/>
      <c r="P111" s="104"/>
      <c r="Q111" s="47"/>
    </row>
    <row r="112" spans="1:17" ht="18.75" hidden="1" customHeight="1" x14ac:dyDescent="0.2">
      <c r="A112" s="472"/>
      <c r="B112" s="423" t="s">
        <v>93</v>
      </c>
      <c r="C112" s="424"/>
      <c r="D112" s="426" t="s">
        <v>52</v>
      </c>
      <c r="E112" s="427"/>
      <c r="F112" s="462" t="s">
        <v>72</v>
      </c>
      <c r="G112" s="453" t="s">
        <v>40</v>
      </c>
      <c r="H112" s="440"/>
      <c r="I112" s="440"/>
      <c r="J112" s="444">
        <f>((D109/1000)+(H109/1000))*(H109/1000)*3.14*E109</f>
        <v>0.26</v>
      </c>
      <c r="K112" s="168" t="s">
        <v>95</v>
      </c>
      <c r="L112" s="33">
        <v>525</v>
      </c>
      <c r="M112" s="37" t="s">
        <v>73</v>
      </c>
      <c r="N112" s="88" t="s">
        <v>31</v>
      </c>
      <c r="O112" s="34">
        <f>J112*L112</f>
        <v>136.5</v>
      </c>
      <c r="P112" s="304" t="s">
        <v>65</v>
      </c>
    </row>
    <row r="113" spans="1:17" ht="15.75" hidden="1" customHeight="1" x14ac:dyDescent="0.2">
      <c r="A113" s="472"/>
      <c r="B113" s="423"/>
      <c r="C113" s="425"/>
      <c r="D113" s="428"/>
      <c r="E113" s="429"/>
      <c r="F113" s="526"/>
      <c r="G113" s="455"/>
      <c r="H113" s="441"/>
      <c r="I113" s="441"/>
      <c r="J113" s="445"/>
      <c r="K113" s="168" t="s">
        <v>96</v>
      </c>
      <c r="L113" s="86">
        <f>0.4/1000</f>
        <v>4.0000000000000002E-4</v>
      </c>
      <c r="M113" s="226" t="s">
        <v>200</v>
      </c>
      <c r="N113" s="88" t="s">
        <v>36</v>
      </c>
      <c r="O113" s="38">
        <f>J112*L113</f>
        <v>1E-4</v>
      </c>
      <c r="P113" s="304" t="s">
        <v>65</v>
      </c>
    </row>
    <row r="114" spans="1:17" ht="24" hidden="1" x14ac:dyDescent="0.2">
      <c r="A114" s="472"/>
      <c r="B114" s="449" t="s">
        <v>137</v>
      </c>
      <c r="C114" s="433"/>
      <c r="D114" s="409"/>
      <c r="E114" s="409"/>
      <c r="F114" s="439" t="s">
        <v>40</v>
      </c>
      <c r="G114" s="409"/>
      <c r="H114" s="409"/>
      <c r="I114" s="557">
        <f>3.14*(D109/1000+2*H109/1000)*1.1*E109</f>
        <v>9.1199999999999992</v>
      </c>
      <c r="J114" s="409"/>
      <c r="K114" s="73" t="s">
        <v>97</v>
      </c>
      <c r="L114" s="86">
        <v>1.05</v>
      </c>
      <c r="M114" s="225" t="s">
        <v>202</v>
      </c>
      <c r="N114" s="88" t="s">
        <v>136</v>
      </c>
      <c r="O114" s="36">
        <f>I114*L114</f>
        <v>9.5760000000000005</v>
      </c>
      <c r="P114" s="304" t="s">
        <v>65</v>
      </c>
    </row>
    <row r="115" spans="1:17" ht="18" hidden="1" customHeight="1" x14ac:dyDescent="0.2">
      <c r="A115" s="473"/>
      <c r="B115" s="449"/>
      <c r="C115" s="433"/>
      <c r="D115" s="409"/>
      <c r="E115" s="409"/>
      <c r="F115" s="439"/>
      <c r="G115" s="409"/>
      <c r="H115" s="409"/>
      <c r="I115" s="558"/>
      <c r="J115" s="409"/>
      <c r="K115" s="73" t="s">
        <v>98</v>
      </c>
      <c r="L115" s="86">
        <f>0.0304/1000</f>
        <v>3.04E-5</v>
      </c>
      <c r="M115" s="226" t="s">
        <v>200</v>
      </c>
      <c r="N115" s="88" t="s">
        <v>36</v>
      </c>
      <c r="O115" s="38">
        <f>I114*L115</f>
        <v>2.9999999999999997E-4</v>
      </c>
      <c r="P115" s="304" t="s">
        <v>65</v>
      </c>
    </row>
    <row r="116" spans="1:17" ht="12.75" hidden="1" x14ac:dyDescent="0.2">
      <c r="A116" s="541" t="s">
        <v>189</v>
      </c>
      <c r="B116" s="542"/>
      <c r="C116" s="542"/>
      <c r="D116" s="542"/>
      <c r="E116" s="542"/>
      <c r="F116" s="542"/>
      <c r="G116" s="542"/>
      <c r="H116" s="542"/>
      <c r="I116" s="542"/>
      <c r="J116" s="542"/>
      <c r="K116" s="542"/>
      <c r="L116" s="542"/>
      <c r="M116" s="542"/>
      <c r="N116" s="542"/>
      <c r="O116" s="542"/>
      <c r="P116" s="542"/>
    </row>
    <row r="117" spans="1:17" ht="38.25" hidden="1" x14ac:dyDescent="0.2">
      <c r="A117" s="564" t="s">
        <v>226</v>
      </c>
      <c r="B117" s="332" t="s">
        <v>223</v>
      </c>
      <c r="C117" s="79" t="s">
        <v>39</v>
      </c>
      <c r="D117" s="74">
        <v>159</v>
      </c>
      <c r="E117" s="124">
        <f>E125+E123</f>
        <v>208</v>
      </c>
      <c r="F117" s="74"/>
      <c r="G117" s="74"/>
      <c r="H117" s="301">
        <v>120</v>
      </c>
      <c r="I117" s="92"/>
      <c r="J117" s="92"/>
      <c r="K117" s="92"/>
      <c r="L117" s="92"/>
      <c r="M117" s="92"/>
      <c r="N117" s="92"/>
      <c r="O117" s="92"/>
      <c r="P117" s="92"/>
      <c r="Q117" s="50"/>
    </row>
    <row r="118" spans="1:17" ht="25.5" hidden="1" x14ac:dyDescent="0.2">
      <c r="A118" s="565"/>
      <c r="B118" s="333" t="s">
        <v>38</v>
      </c>
      <c r="C118" s="89"/>
      <c r="D118" s="234" t="s">
        <v>58</v>
      </c>
      <c r="E118" s="88">
        <v>20</v>
      </c>
      <c r="F118" s="167"/>
      <c r="G118" s="88"/>
      <c r="H118" s="88"/>
      <c r="I118" s="34">
        <f>((D117/1000)+(2*H117/1000))*3.14*E118</f>
        <v>25.06</v>
      </c>
      <c r="J118" s="88"/>
      <c r="K118" s="86"/>
      <c r="L118" s="86"/>
      <c r="M118" s="543"/>
      <c r="N118" s="544"/>
      <c r="O118" s="88"/>
      <c r="P118" s="86"/>
      <c r="Q118" s="41"/>
    </row>
    <row r="119" spans="1:17" ht="25.5" hidden="1" x14ac:dyDescent="0.2">
      <c r="A119" s="565"/>
      <c r="B119" s="333" t="s">
        <v>41</v>
      </c>
      <c r="C119" s="89"/>
      <c r="D119" s="234" t="s">
        <v>58</v>
      </c>
      <c r="E119" s="88">
        <v>188</v>
      </c>
      <c r="F119" s="88"/>
      <c r="G119" s="88"/>
      <c r="H119" s="88"/>
      <c r="I119" s="34">
        <f>((D117/1000)+(2*H117/1000))*3.14*E119</f>
        <v>235.54</v>
      </c>
      <c r="J119" s="88"/>
      <c r="K119" s="86"/>
      <c r="L119" s="86"/>
      <c r="M119" s="543"/>
      <c r="N119" s="544"/>
      <c r="O119" s="88"/>
      <c r="P119" s="86"/>
      <c r="Q119" s="41"/>
    </row>
    <row r="120" spans="1:17" ht="25.5" hidden="1" x14ac:dyDescent="0.2">
      <c r="A120" s="565"/>
      <c r="B120" s="329" t="s">
        <v>134</v>
      </c>
      <c r="C120" s="89"/>
      <c r="D120" s="411" t="s">
        <v>52</v>
      </c>
      <c r="E120" s="411"/>
      <c r="F120" s="233" t="s">
        <v>50</v>
      </c>
      <c r="G120" s="88"/>
      <c r="H120" s="88"/>
      <c r="I120" s="34"/>
      <c r="J120" s="90">
        <f>J121</f>
        <v>21.9</v>
      </c>
      <c r="K120" s="86"/>
      <c r="L120" s="86"/>
      <c r="M120" s="125"/>
      <c r="N120" s="78"/>
      <c r="O120" s="88"/>
      <c r="P120" s="86"/>
      <c r="Q120" s="41"/>
    </row>
    <row r="121" spans="1:17" ht="38.25" hidden="1" x14ac:dyDescent="0.2">
      <c r="A121" s="565"/>
      <c r="B121" s="504" t="s">
        <v>80</v>
      </c>
      <c r="C121" s="433"/>
      <c r="D121" s="439" t="s">
        <v>52</v>
      </c>
      <c r="E121" s="439"/>
      <c r="F121" s="439" t="s">
        <v>50</v>
      </c>
      <c r="G121" s="417" t="s">
        <v>213</v>
      </c>
      <c r="H121" s="440"/>
      <c r="I121" s="444"/>
      <c r="J121" s="520">
        <f>((D117/1000)+(H117/1000))*(H117/1000)*3.14*E117</f>
        <v>21.9</v>
      </c>
      <c r="K121" s="48" t="s">
        <v>106</v>
      </c>
      <c r="L121" s="40">
        <v>1.24</v>
      </c>
      <c r="M121" s="227" t="s">
        <v>201</v>
      </c>
      <c r="N121" s="88" t="s">
        <v>135</v>
      </c>
      <c r="O121" s="36">
        <f>J121*L121</f>
        <v>27.155999999999999</v>
      </c>
      <c r="P121" s="304" t="s">
        <v>65</v>
      </c>
    </row>
    <row r="122" spans="1:17" ht="12.75" hidden="1" x14ac:dyDescent="0.2">
      <c r="A122" s="565"/>
      <c r="B122" s="506"/>
      <c r="C122" s="433"/>
      <c r="D122" s="439"/>
      <c r="E122" s="439"/>
      <c r="F122" s="439"/>
      <c r="G122" s="418"/>
      <c r="H122" s="441"/>
      <c r="I122" s="445"/>
      <c r="J122" s="521"/>
      <c r="K122" s="51" t="s">
        <v>107</v>
      </c>
      <c r="L122" s="86">
        <f>2.9/1000</f>
        <v>2.8999999999999998E-3</v>
      </c>
      <c r="M122" s="226" t="s">
        <v>200</v>
      </c>
      <c r="N122" s="88" t="s">
        <v>36</v>
      </c>
      <c r="O122" s="38">
        <f>J121*L122</f>
        <v>6.3500000000000001E-2</v>
      </c>
      <c r="P122" s="304" t="s">
        <v>65</v>
      </c>
    </row>
    <row r="123" spans="1:17" ht="24" hidden="1" x14ac:dyDescent="0.2">
      <c r="A123" s="565"/>
      <c r="B123" s="504" t="s">
        <v>42</v>
      </c>
      <c r="C123" s="433"/>
      <c r="D123" s="439" t="s">
        <v>58</v>
      </c>
      <c r="E123" s="440">
        <v>20</v>
      </c>
      <c r="F123" s="417" t="s">
        <v>213</v>
      </c>
      <c r="G123" s="440"/>
      <c r="H123" s="440"/>
      <c r="I123" s="444">
        <f>I118</f>
        <v>25.06</v>
      </c>
      <c r="J123" s="440"/>
      <c r="K123" s="48" t="s">
        <v>89</v>
      </c>
      <c r="L123" s="49">
        <f>4.6/1000</f>
        <v>4.5999999999999999E-3</v>
      </c>
      <c r="M123" s="225" t="s">
        <v>199</v>
      </c>
      <c r="N123" s="88" t="s">
        <v>36</v>
      </c>
      <c r="O123" s="36">
        <f>I123*L123</f>
        <v>0.115</v>
      </c>
      <c r="P123" s="304" t="s">
        <v>65</v>
      </c>
    </row>
    <row r="124" spans="1:17" ht="12.75" hidden="1" x14ac:dyDescent="0.2">
      <c r="A124" s="565"/>
      <c r="B124" s="506"/>
      <c r="C124" s="433"/>
      <c r="D124" s="439"/>
      <c r="E124" s="441"/>
      <c r="F124" s="418"/>
      <c r="G124" s="441"/>
      <c r="H124" s="441"/>
      <c r="I124" s="445"/>
      <c r="J124" s="441"/>
      <c r="K124" s="51" t="s">
        <v>90</v>
      </c>
      <c r="L124" s="86">
        <f>0.015/1000</f>
        <v>1.5E-5</v>
      </c>
      <c r="M124" s="225" t="s">
        <v>198</v>
      </c>
      <c r="N124" s="88" t="s">
        <v>36</v>
      </c>
      <c r="O124" s="38">
        <f>I123*L124</f>
        <v>4.0000000000000002E-4</v>
      </c>
      <c r="P124" s="304" t="s">
        <v>65</v>
      </c>
    </row>
    <row r="125" spans="1:17" ht="24" hidden="1" x14ac:dyDescent="0.2">
      <c r="A125" s="565"/>
      <c r="B125" s="504" t="s">
        <v>43</v>
      </c>
      <c r="C125" s="424"/>
      <c r="D125" s="404" t="s">
        <v>58</v>
      </c>
      <c r="E125" s="440">
        <v>188</v>
      </c>
      <c r="F125" s="417" t="s">
        <v>213</v>
      </c>
      <c r="G125" s="440"/>
      <c r="H125" s="440"/>
      <c r="I125" s="444">
        <f>I119</f>
        <v>235.54</v>
      </c>
      <c r="J125" s="440"/>
      <c r="K125" s="48" t="s">
        <v>138</v>
      </c>
      <c r="L125" s="49">
        <f>4.9/1000</f>
        <v>4.8999999999999998E-3</v>
      </c>
      <c r="M125" s="225" t="s">
        <v>199</v>
      </c>
      <c r="N125" s="88" t="s">
        <v>36</v>
      </c>
      <c r="O125" s="36">
        <f>I125*L125</f>
        <v>1.1539999999999999</v>
      </c>
      <c r="P125" s="304" t="s">
        <v>65</v>
      </c>
    </row>
    <row r="126" spans="1:17" ht="12.75" hidden="1" x14ac:dyDescent="0.2">
      <c r="A126" s="565"/>
      <c r="B126" s="505"/>
      <c r="C126" s="425"/>
      <c r="D126" s="406"/>
      <c r="E126" s="441"/>
      <c r="F126" s="418"/>
      <c r="G126" s="441"/>
      <c r="H126" s="441"/>
      <c r="I126" s="445"/>
      <c r="J126" s="441"/>
      <c r="K126" s="51" t="s">
        <v>139</v>
      </c>
      <c r="L126" s="86">
        <f>0.02/1000</f>
        <v>2.0000000000000002E-5</v>
      </c>
      <c r="M126" s="225" t="s">
        <v>198</v>
      </c>
      <c r="N126" s="88" t="s">
        <v>36</v>
      </c>
      <c r="O126" s="38">
        <f>I125*L126</f>
        <v>4.7000000000000002E-3</v>
      </c>
      <c r="P126" s="304" t="s">
        <v>65</v>
      </c>
    </row>
    <row r="127" spans="1:17" ht="63.75" hidden="1" x14ac:dyDescent="0.2">
      <c r="A127" s="622" t="s">
        <v>174</v>
      </c>
      <c r="B127" s="293" t="s">
        <v>224</v>
      </c>
      <c r="C127" s="79" t="s">
        <v>39</v>
      </c>
      <c r="D127" s="74">
        <v>159</v>
      </c>
      <c r="E127" s="74">
        <v>79</v>
      </c>
      <c r="F127" s="74"/>
      <c r="G127" s="74"/>
      <c r="H127" s="301">
        <v>120</v>
      </c>
      <c r="I127" s="88"/>
      <c r="J127" s="88"/>
      <c r="K127" s="88"/>
      <c r="L127" s="88"/>
      <c r="M127" s="77"/>
      <c r="N127" s="77"/>
      <c r="O127" s="88"/>
      <c r="P127" s="86"/>
      <c r="Q127" s="41"/>
    </row>
    <row r="128" spans="1:17" ht="25.5" hidden="1" x14ac:dyDescent="0.2">
      <c r="A128" s="623"/>
      <c r="B128" s="327" t="s">
        <v>87</v>
      </c>
      <c r="C128" s="89"/>
      <c r="D128" s="411" t="s">
        <v>52</v>
      </c>
      <c r="E128" s="411"/>
      <c r="F128" s="43" t="s">
        <v>50</v>
      </c>
      <c r="G128" s="94"/>
      <c r="H128" s="88"/>
      <c r="I128" s="88"/>
      <c r="J128" s="90">
        <f>J129</f>
        <v>8.3000000000000007</v>
      </c>
      <c r="K128" s="88"/>
      <c r="L128" s="88"/>
      <c r="M128" s="77"/>
      <c r="N128" s="77"/>
      <c r="O128" s="88"/>
      <c r="P128" s="86"/>
      <c r="Q128" s="41"/>
    </row>
    <row r="129" spans="1:17" ht="38.25" hidden="1" x14ac:dyDescent="0.2">
      <c r="A129" s="623"/>
      <c r="B129" s="430" t="s">
        <v>80</v>
      </c>
      <c r="C129" s="433"/>
      <c r="D129" s="411" t="s">
        <v>52</v>
      </c>
      <c r="E129" s="411"/>
      <c r="F129" s="411" t="s">
        <v>50</v>
      </c>
      <c r="G129" s="411" t="s">
        <v>29</v>
      </c>
      <c r="H129" s="409"/>
      <c r="I129" s="409"/>
      <c r="J129" s="563">
        <f>((D127/1000)+(H127/1000))*(H127/1000)*3.14*E127</f>
        <v>8.3000000000000007</v>
      </c>
      <c r="K129" s="73" t="s">
        <v>106</v>
      </c>
      <c r="L129" s="34">
        <v>1.24</v>
      </c>
      <c r="M129" s="227" t="s">
        <v>201</v>
      </c>
      <c r="N129" s="88" t="s">
        <v>135</v>
      </c>
      <c r="O129" s="36">
        <f>J129*L129</f>
        <v>10.292</v>
      </c>
      <c r="P129" s="296" t="s">
        <v>65</v>
      </c>
    </row>
    <row r="130" spans="1:17" ht="12.75" hidden="1" x14ac:dyDescent="0.2">
      <c r="A130" s="623"/>
      <c r="B130" s="430"/>
      <c r="C130" s="433"/>
      <c r="D130" s="411"/>
      <c r="E130" s="411"/>
      <c r="F130" s="411"/>
      <c r="G130" s="411"/>
      <c r="H130" s="409"/>
      <c r="I130" s="409"/>
      <c r="J130" s="563"/>
      <c r="K130" s="32" t="s">
        <v>107</v>
      </c>
      <c r="L130" s="88">
        <f>2.9/1000</f>
        <v>2.8999999999999998E-3</v>
      </c>
      <c r="M130" s="226" t="s">
        <v>200</v>
      </c>
      <c r="N130" s="88" t="s">
        <v>36</v>
      </c>
      <c r="O130" s="38">
        <f>J129*L130</f>
        <v>2.41E-2</v>
      </c>
      <c r="P130" s="296" t="s">
        <v>65</v>
      </c>
    </row>
    <row r="131" spans="1:17" ht="25.5" hidden="1" customHeight="1" x14ac:dyDescent="0.2">
      <c r="A131" s="623"/>
      <c r="B131" s="430" t="s">
        <v>32</v>
      </c>
      <c r="C131" s="424"/>
      <c r="D131" s="424"/>
      <c r="E131" s="424"/>
      <c r="F131" s="462" t="s">
        <v>29</v>
      </c>
      <c r="G131" s="453" t="s">
        <v>63</v>
      </c>
      <c r="H131" s="424"/>
      <c r="I131" s="442">
        <f>3.14*E127*(D127/1000+2*H127/1000)</f>
        <v>99</v>
      </c>
      <c r="J131" s="424"/>
      <c r="K131" s="32" t="s">
        <v>83</v>
      </c>
      <c r="L131" s="88">
        <v>1.05</v>
      </c>
      <c r="M131" s="149" t="s">
        <v>221</v>
      </c>
      <c r="N131" s="88" t="s">
        <v>136</v>
      </c>
      <c r="O131" s="34">
        <f>I131*L131</f>
        <v>103.95</v>
      </c>
      <c r="P131" s="296" t="s">
        <v>65</v>
      </c>
    </row>
    <row r="132" spans="1:17" ht="12.75" hidden="1" x14ac:dyDescent="0.2">
      <c r="A132" s="623"/>
      <c r="B132" s="430"/>
      <c r="C132" s="425"/>
      <c r="D132" s="425"/>
      <c r="E132" s="425"/>
      <c r="F132" s="463"/>
      <c r="G132" s="455"/>
      <c r="H132" s="425"/>
      <c r="I132" s="443"/>
      <c r="J132" s="425"/>
      <c r="K132" s="32" t="s">
        <v>84</v>
      </c>
      <c r="L132" s="88">
        <f>0.03/1000</f>
        <v>3.0000000000000001E-5</v>
      </c>
      <c r="M132" s="226" t="s">
        <v>200</v>
      </c>
      <c r="N132" s="88" t="s">
        <v>36</v>
      </c>
      <c r="O132" s="38">
        <f>I131*L132</f>
        <v>3.0000000000000001E-3</v>
      </c>
      <c r="P132" s="296" t="s">
        <v>65</v>
      </c>
    </row>
    <row r="133" spans="1:17" ht="25.5" hidden="1" x14ac:dyDescent="0.2">
      <c r="A133" s="623"/>
      <c r="B133" s="430" t="s">
        <v>34</v>
      </c>
      <c r="C133" s="424"/>
      <c r="D133" s="424"/>
      <c r="E133" s="424"/>
      <c r="F133" s="462" t="s">
        <v>63</v>
      </c>
      <c r="G133" s="424"/>
      <c r="H133" s="424"/>
      <c r="I133" s="442">
        <f>I131</f>
        <v>99</v>
      </c>
      <c r="J133" s="424"/>
      <c r="K133" s="32" t="s">
        <v>85</v>
      </c>
      <c r="L133" s="88">
        <f>18/1000</f>
        <v>1.7999999999999999E-2</v>
      </c>
      <c r="M133" s="149" t="s">
        <v>195</v>
      </c>
      <c r="N133" s="88" t="s">
        <v>36</v>
      </c>
      <c r="O133" s="36">
        <f>I133*L133</f>
        <v>1.782</v>
      </c>
      <c r="P133" s="296" t="s">
        <v>65</v>
      </c>
    </row>
    <row r="134" spans="1:17" ht="25.5" hidden="1" x14ac:dyDescent="0.2">
      <c r="A134" s="623"/>
      <c r="B134" s="483"/>
      <c r="C134" s="425"/>
      <c r="D134" s="425"/>
      <c r="E134" s="425"/>
      <c r="F134" s="463"/>
      <c r="G134" s="425"/>
      <c r="H134" s="425"/>
      <c r="I134" s="443"/>
      <c r="J134" s="425"/>
      <c r="K134" s="32" t="s">
        <v>85</v>
      </c>
      <c r="L134" s="88">
        <f>5.2/1000</f>
        <v>5.1999999999999998E-3</v>
      </c>
      <c r="M134" s="149" t="s">
        <v>197</v>
      </c>
      <c r="N134" s="88" t="s">
        <v>36</v>
      </c>
      <c r="O134" s="36">
        <f>I133*L134</f>
        <v>0.51500000000000001</v>
      </c>
      <c r="P134" s="296" t="s">
        <v>65</v>
      </c>
    </row>
    <row r="135" spans="1:17" ht="12.75" hidden="1" x14ac:dyDescent="0.2">
      <c r="A135" s="286" t="s">
        <v>175</v>
      </c>
      <c r="B135" s="294" t="s">
        <v>225</v>
      </c>
      <c r="C135" s="277"/>
      <c r="D135" s="277"/>
      <c r="E135" s="277"/>
      <c r="F135" s="282"/>
      <c r="G135" s="277"/>
      <c r="H135" s="277"/>
      <c r="I135" s="307"/>
      <c r="J135" s="277"/>
      <c r="K135" s="270"/>
      <c r="L135" s="262"/>
      <c r="M135" s="288"/>
      <c r="N135" s="262"/>
      <c r="O135" s="36"/>
      <c r="P135" s="296"/>
    </row>
    <row r="136" spans="1:17" ht="27" hidden="1" customHeight="1" x14ac:dyDescent="0.2">
      <c r="A136" s="286"/>
      <c r="B136" s="504" t="s">
        <v>178</v>
      </c>
      <c r="C136" s="413"/>
      <c r="D136" s="413"/>
      <c r="E136" s="413"/>
      <c r="F136" s="413"/>
      <c r="G136" s="413"/>
      <c r="H136" s="413"/>
      <c r="I136" s="413"/>
      <c r="J136" s="413"/>
      <c r="K136" s="73"/>
      <c r="L136" s="519" t="s">
        <v>128</v>
      </c>
      <c r="M136" s="52" t="s">
        <v>177</v>
      </c>
      <c r="N136" s="85" t="s">
        <v>36</v>
      </c>
      <c r="O136" s="110" t="s">
        <v>176</v>
      </c>
      <c r="P136" s="299" t="s">
        <v>65</v>
      </c>
    </row>
    <row r="137" spans="1:17" ht="38.25" hidden="1" customHeight="1" x14ac:dyDescent="0.2">
      <c r="A137" s="286"/>
      <c r="B137" s="505"/>
      <c r="C137" s="466"/>
      <c r="D137" s="466"/>
      <c r="E137" s="466"/>
      <c r="F137" s="466"/>
      <c r="G137" s="466"/>
      <c r="H137" s="466"/>
      <c r="I137" s="466"/>
      <c r="J137" s="466"/>
      <c r="K137" s="112" t="s">
        <v>86</v>
      </c>
      <c r="L137" s="519"/>
      <c r="M137" s="80" t="s">
        <v>64</v>
      </c>
      <c r="N137" s="85" t="s">
        <v>30</v>
      </c>
      <c r="O137" s="113">
        <f>27.04/100*0.008</f>
        <v>2E-3</v>
      </c>
      <c r="P137" s="299" t="s">
        <v>65</v>
      </c>
    </row>
    <row r="138" spans="1:17" ht="49.5" hidden="1" customHeight="1" x14ac:dyDescent="0.2">
      <c r="A138" s="286"/>
      <c r="B138" s="505"/>
      <c r="C138" s="466"/>
      <c r="D138" s="466"/>
      <c r="E138" s="466"/>
      <c r="F138" s="466"/>
      <c r="G138" s="466"/>
      <c r="H138" s="466"/>
      <c r="I138" s="466"/>
      <c r="J138" s="466"/>
      <c r="K138" s="112" t="s">
        <v>86</v>
      </c>
      <c r="L138" s="519"/>
      <c r="M138" s="80" t="s">
        <v>66</v>
      </c>
      <c r="N138" s="85" t="s">
        <v>36</v>
      </c>
      <c r="O138" s="113">
        <f>27.04/100*0.029</f>
        <v>8.0000000000000002E-3</v>
      </c>
      <c r="P138" s="299" t="s">
        <v>65</v>
      </c>
    </row>
    <row r="139" spans="1:17" ht="30.75" hidden="1" customHeight="1" x14ac:dyDescent="0.2">
      <c r="A139" s="287"/>
      <c r="B139" s="506"/>
      <c r="C139" s="414"/>
      <c r="D139" s="414"/>
      <c r="E139" s="414"/>
      <c r="F139" s="414"/>
      <c r="G139" s="414"/>
      <c r="H139" s="414"/>
      <c r="I139" s="414"/>
      <c r="J139" s="414"/>
      <c r="K139" s="112" t="s">
        <v>86</v>
      </c>
      <c r="L139" s="519"/>
      <c r="M139" s="80" t="s">
        <v>67</v>
      </c>
      <c r="N139" s="85" t="s">
        <v>33</v>
      </c>
      <c r="O139" s="114">
        <f>27.04/100*5.5</f>
        <v>1.4870000000000001</v>
      </c>
      <c r="P139" s="111" t="s">
        <v>65</v>
      </c>
    </row>
    <row r="140" spans="1:17" ht="12.75" hidden="1" x14ac:dyDescent="0.2">
      <c r="A140" s="479">
        <v>15</v>
      </c>
      <c r="B140" s="116" t="s">
        <v>252</v>
      </c>
      <c r="C140" s="210" t="s">
        <v>39</v>
      </c>
      <c r="D140" s="208">
        <v>426</v>
      </c>
      <c r="E140" s="208">
        <v>8</v>
      </c>
      <c r="F140" s="208"/>
      <c r="G140" s="208"/>
      <c r="H140" s="208">
        <v>140</v>
      </c>
      <c r="I140" s="208"/>
      <c r="J140" s="208"/>
      <c r="K140" s="86"/>
      <c r="L140" s="86"/>
      <c r="M140" s="39"/>
      <c r="N140" s="78"/>
      <c r="O140" s="88"/>
      <c r="P140" s="88"/>
    </row>
    <row r="141" spans="1:17" ht="25.5" hidden="1" x14ac:dyDescent="0.2">
      <c r="A141" s="480"/>
      <c r="B141" s="327" t="s">
        <v>87</v>
      </c>
      <c r="C141" s="210"/>
      <c r="D141" s="497" t="s">
        <v>52</v>
      </c>
      <c r="E141" s="498"/>
      <c r="F141" s="233" t="s">
        <v>50</v>
      </c>
      <c r="G141" s="209"/>
      <c r="H141" s="208"/>
      <c r="I141" s="208"/>
      <c r="J141" s="213">
        <f>J142</f>
        <v>2</v>
      </c>
      <c r="K141" s="192"/>
      <c r="L141" s="192"/>
      <c r="M141" s="198"/>
      <c r="N141" s="192"/>
      <c r="O141" s="196"/>
      <c r="P141" s="197"/>
    </row>
    <row r="142" spans="1:17" ht="38.25" hidden="1" x14ac:dyDescent="0.2">
      <c r="A142" s="480"/>
      <c r="B142" s="430" t="s">
        <v>80</v>
      </c>
      <c r="C142" s="433"/>
      <c r="D142" s="439" t="s">
        <v>52</v>
      </c>
      <c r="E142" s="439"/>
      <c r="F142" s="411" t="s">
        <v>50</v>
      </c>
      <c r="G142" s="411" t="s">
        <v>29</v>
      </c>
      <c r="H142" s="433"/>
      <c r="I142" s="409"/>
      <c r="J142" s="435">
        <f>((D140/1000)+(H140/1000))*(H140/1000)*3.14*E140</f>
        <v>2</v>
      </c>
      <c r="K142" s="195" t="s">
        <v>106</v>
      </c>
      <c r="L142" s="196">
        <v>1.24</v>
      </c>
      <c r="M142" s="227" t="s">
        <v>201</v>
      </c>
      <c r="N142" s="192" t="s">
        <v>135</v>
      </c>
      <c r="O142" s="36">
        <f>J142*L142</f>
        <v>2.48</v>
      </c>
      <c r="P142" s="197" t="s">
        <v>65</v>
      </c>
    </row>
    <row r="143" spans="1:17" ht="12.75" hidden="1" x14ac:dyDescent="0.2">
      <c r="A143" s="480"/>
      <c r="B143" s="430"/>
      <c r="C143" s="433"/>
      <c r="D143" s="439"/>
      <c r="E143" s="439"/>
      <c r="F143" s="411"/>
      <c r="G143" s="411"/>
      <c r="H143" s="433"/>
      <c r="I143" s="409"/>
      <c r="J143" s="435"/>
      <c r="K143" s="197" t="s">
        <v>107</v>
      </c>
      <c r="L143" s="192">
        <f>2.9/1000</f>
        <v>2.8999999999999998E-3</v>
      </c>
      <c r="M143" s="226" t="s">
        <v>200</v>
      </c>
      <c r="N143" s="192" t="s">
        <v>36</v>
      </c>
      <c r="O143" s="38">
        <f>J142*L143</f>
        <v>5.7999999999999996E-3</v>
      </c>
      <c r="P143" s="197" t="s">
        <v>65</v>
      </c>
    </row>
    <row r="144" spans="1:17" ht="25.5" hidden="1" x14ac:dyDescent="0.2">
      <c r="A144" s="480"/>
      <c r="B144" s="430" t="s">
        <v>32</v>
      </c>
      <c r="C144" s="433"/>
      <c r="D144" s="433"/>
      <c r="E144" s="433"/>
      <c r="F144" s="411" t="s">
        <v>29</v>
      </c>
      <c r="G144" s="411" t="s">
        <v>63</v>
      </c>
      <c r="H144" s="433"/>
      <c r="I144" s="566">
        <f>3.14*E140*(D140/1000+2*H140/1000)</f>
        <v>18</v>
      </c>
      <c r="J144" s="433"/>
      <c r="K144" s="197" t="s">
        <v>83</v>
      </c>
      <c r="L144" s="192">
        <v>1.05</v>
      </c>
      <c r="M144" s="149" t="s">
        <v>221</v>
      </c>
      <c r="N144" s="192" t="s">
        <v>136</v>
      </c>
      <c r="O144" s="196">
        <f>I144*L144</f>
        <v>18.899999999999999</v>
      </c>
      <c r="P144" s="270" t="s">
        <v>65</v>
      </c>
      <c r="Q144" s="188"/>
    </row>
    <row r="145" spans="1:17" ht="12.75" hidden="1" x14ac:dyDescent="0.2">
      <c r="A145" s="480"/>
      <c r="B145" s="430"/>
      <c r="C145" s="433"/>
      <c r="D145" s="433"/>
      <c r="E145" s="433"/>
      <c r="F145" s="411"/>
      <c r="G145" s="411"/>
      <c r="H145" s="433"/>
      <c r="I145" s="566"/>
      <c r="J145" s="433"/>
      <c r="K145" s="197" t="s">
        <v>84</v>
      </c>
      <c r="L145" s="192">
        <f>0.03/1000</f>
        <v>3.0000000000000001E-5</v>
      </c>
      <c r="M145" s="226" t="s">
        <v>200</v>
      </c>
      <c r="N145" s="192" t="s">
        <v>36</v>
      </c>
      <c r="O145" s="38">
        <f>I144*L145</f>
        <v>5.0000000000000001E-4</v>
      </c>
      <c r="P145" s="197" t="s">
        <v>65</v>
      </c>
    </row>
    <row r="146" spans="1:17" ht="25.5" hidden="1" customHeight="1" x14ac:dyDescent="0.2">
      <c r="A146" s="480"/>
      <c r="B146" s="430" t="s">
        <v>34</v>
      </c>
      <c r="C146" s="433"/>
      <c r="D146" s="433"/>
      <c r="E146" s="433"/>
      <c r="F146" s="439" t="s">
        <v>63</v>
      </c>
      <c r="G146" s="433"/>
      <c r="H146" s="433"/>
      <c r="I146" s="566">
        <f>I144</f>
        <v>18</v>
      </c>
      <c r="J146" s="433"/>
      <c r="K146" s="43" t="s">
        <v>85</v>
      </c>
      <c r="L146" s="192">
        <f>18/1000</f>
        <v>1.7999999999999999E-2</v>
      </c>
      <c r="M146" s="149" t="s">
        <v>195</v>
      </c>
      <c r="N146" s="192" t="s">
        <v>36</v>
      </c>
      <c r="O146" s="36">
        <f>I146*L146</f>
        <v>0.32400000000000001</v>
      </c>
      <c r="P146" s="197" t="s">
        <v>65</v>
      </c>
    </row>
    <row r="147" spans="1:17" ht="25.5" hidden="1" x14ac:dyDescent="0.2">
      <c r="A147" s="481"/>
      <c r="B147" s="430"/>
      <c r="C147" s="433"/>
      <c r="D147" s="433"/>
      <c r="E147" s="433"/>
      <c r="F147" s="439"/>
      <c r="G147" s="433"/>
      <c r="H147" s="433"/>
      <c r="I147" s="566"/>
      <c r="J147" s="433"/>
      <c r="K147" s="197" t="s">
        <v>85</v>
      </c>
      <c r="L147" s="192">
        <f>5.2/1000</f>
        <v>5.1999999999999998E-3</v>
      </c>
      <c r="M147" s="149" t="s">
        <v>197</v>
      </c>
      <c r="N147" s="192" t="s">
        <v>36</v>
      </c>
      <c r="O147" s="36">
        <f>I146*L147</f>
        <v>9.4E-2</v>
      </c>
      <c r="P147" s="197" t="s">
        <v>65</v>
      </c>
    </row>
    <row r="148" spans="1:17" ht="25.5" hidden="1" x14ac:dyDescent="0.2">
      <c r="A148" s="525">
        <v>16</v>
      </c>
      <c r="B148" s="116" t="s">
        <v>253</v>
      </c>
      <c r="C148" s="89" t="s">
        <v>39</v>
      </c>
      <c r="D148" s="88">
        <v>76</v>
      </c>
      <c r="E148" s="88">
        <v>9</v>
      </c>
      <c r="F148" s="88"/>
      <c r="G148" s="88"/>
      <c r="H148" s="88">
        <v>80</v>
      </c>
      <c r="I148" s="34"/>
      <c r="J148" s="88"/>
      <c r="K148" s="86"/>
      <c r="L148" s="86"/>
      <c r="M148" s="37"/>
      <c r="N148" s="37"/>
      <c r="O148" s="88"/>
      <c r="P148" s="86"/>
    </row>
    <row r="149" spans="1:17" ht="25.5" hidden="1" x14ac:dyDescent="0.2">
      <c r="A149" s="525"/>
      <c r="B149" s="323" t="s">
        <v>38</v>
      </c>
      <c r="C149" s="89"/>
      <c r="D149" s="234" t="s">
        <v>58</v>
      </c>
      <c r="E149" s="88">
        <v>9</v>
      </c>
      <c r="F149" s="88"/>
      <c r="G149" s="88"/>
      <c r="H149" s="88"/>
      <c r="I149" s="34">
        <f>((D148/1000)+(2*H148/1000))*3.14*E149</f>
        <v>6.67</v>
      </c>
      <c r="J149" s="88"/>
      <c r="K149" s="86"/>
      <c r="L149" s="86"/>
      <c r="M149" s="37"/>
      <c r="N149" s="37"/>
      <c r="O149" s="88"/>
      <c r="P149" s="86"/>
    </row>
    <row r="150" spans="1:17" ht="25.5" hidden="1" x14ac:dyDescent="0.2">
      <c r="A150" s="525"/>
      <c r="B150" s="323" t="s">
        <v>41</v>
      </c>
      <c r="C150" s="89"/>
      <c r="D150" s="234" t="s">
        <v>58</v>
      </c>
      <c r="E150" s="88"/>
      <c r="F150" s="88"/>
      <c r="G150" s="88"/>
      <c r="H150" s="88"/>
      <c r="I150" s="34">
        <f>((D148/1000)+(2*H148/1000))*3.14*E150</f>
        <v>0</v>
      </c>
      <c r="J150" s="88"/>
      <c r="K150" s="86"/>
      <c r="L150" s="86"/>
      <c r="M150" s="37"/>
      <c r="N150" s="37"/>
      <c r="O150" s="88"/>
      <c r="P150" s="86"/>
    </row>
    <row r="151" spans="1:17" ht="25.5" hidden="1" x14ac:dyDescent="0.2">
      <c r="A151" s="525"/>
      <c r="B151" s="327" t="s">
        <v>87</v>
      </c>
      <c r="C151" s="89"/>
      <c r="D151" s="497" t="s">
        <v>52</v>
      </c>
      <c r="E151" s="498"/>
      <c r="F151" s="234" t="s">
        <v>50</v>
      </c>
      <c r="G151" s="88"/>
      <c r="H151" s="88"/>
      <c r="I151" s="34"/>
      <c r="J151" s="90">
        <f>J152</f>
        <v>0.4</v>
      </c>
      <c r="K151" s="86"/>
      <c r="L151" s="86"/>
      <c r="M151" s="37"/>
      <c r="N151" s="37"/>
      <c r="O151" s="88"/>
      <c r="P151" s="86"/>
    </row>
    <row r="152" spans="1:17" ht="38.25" hidden="1" x14ac:dyDescent="0.2">
      <c r="A152" s="525"/>
      <c r="B152" s="430" t="s">
        <v>80</v>
      </c>
      <c r="C152" s="424"/>
      <c r="D152" s="559" t="s">
        <v>52</v>
      </c>
      <c r="E152" s="560"/>
      <c r="F152" s="462" t="s">
        <v>50</v>
      </c>
      <c r="G152" s="417" t="s">
        <v>213</v>
      </c>
      <c r="H152" s="440"/>
      <c r="I152" s="444"/>
      <c r="J152" s="520">
        <f>((D148/1000)+(H148/1000))*(H148/1000)*3.14*E148</f>
        <v>0.4</v>
      </c>
      <c r="K152" s="56" t="s">
        <v>106</v>
      </c>
      <c r="L152" s="40">
        <v>1.24</v>
      </c>
      <c r="M152" s="227" t="s">
        <v>212</v>
      </c>
      <c r="N152" s="88" t="s">
        <v>135</v>
      </c>
      <c r="O152" s="36">
        <f>J152*L152</f>
        <v>0.496</v>
      </c>
      <c r="P152" s="302" t="s">
        <v>65</v>
      </c>
    </row>
    <row r="153" spans="1:17" ht="20.25" hidden="1" customHeight="1" x14ac:dyDescent="0.2">
      <c r="A153" s="525"/>
      <c r="B153" s="430"/>
      <c r="C153" s="425"/>
      <c r="D153" s="561"/>
      <c r="E153" s="562"/>
      <c r="F153" s="463"/>
      <c r="G153" s="418"/>
      <c r="H153" s="441"/>
      <c r="I153" s="445"/>
      <c r="J153" s="521"/>
      <c r="K153" s="54" t="s">
        <v>107</v>
      </c>
      <c r="L153" s="86">
        <f>2.9/1000</f>
        <v>2.8999999999999998E-3</v>
      </c>
      <c r="M153" s="226" t="s">
        <v>200</v>
      </c>
      <c r="N153" s="88" t="s">
        <v>36</v>
      </c>
      <c r="O153" s="38">
        <f>J152*L153</f>
        <v>1.1999999999999999E-3</v>
      </c>
      <c r="P153" s="304" t="s">
        <v>65</v>
      </c>
    </row>
    <row r="154" spans="1:17" ht="24" hidden="1" x14ac:dyDescent="0.2">
      <c r="A154" s="525"/>
      <c r="B154" s="430" t="s">
        <v>42</v>
      </c>
      <c r="C154" s="424"/>
      <c r="D154" s="462" t="s">
        <v>58</v>
      </c>
      <c r="E154" s="453">
        <v>9</v>
      </c>
      <c r="F154" s="417" t="s">
        <v>213</v>
      </c>
      <c r="G154" s="453"/>
      <c r="H154" s="440"/>
      <c r="I154" s="444">
        <f>I149</f>
        <v>6.67</v>
      </c>
      <c r="J154" s="440"/>
      <c r="K154" s="57" t="s">
        <v>89</v>
      </c>
      <c r="L154" s="49">
        <f>4.6/1000</f>
        <v>4.5999999999999999E-3</v>
      </c>
      <c r="M154" s="225" t="s">
        <v>199</v>
      </c>
      <c r="N154" s="88" t="s">
        <v>36</v>
      </c>
      <c r="O154" s="36">
        <f>I154*L154</f>
        <v>3.1E-2</v>
      </c>
      <c r="P154" s="304" t="s">
        <v>65</v>
      </c>
    </row>
    <row r="155" spans="1:17" ht="12.75" hidden="1" x14ac:dyDescent="0.2">
      <c r="A155" s="525"/>
      <c r="B155" s="432"/>
      <c r="C155" s="425"/>
      <c r="D155" s="463"/>
      <c r="E155" s="455"/>
      <c r="F155" s="418"/>
      <c r="G155" s="455"/>
      <c r="H155" s="441"/>
      <c r="I155" s="445"/>
      <c r="J155" s="441"/>
      <c r="K155" s="54" t="s">
        <v>90</v>
      </c>
      <c r="L155" s="86">
        <f>0.015/1000</f>
        <v>1.5E-5</v>
      </c>
      <c r="M155" s="225" t="s">
        <v>198</v>
      </c>
      <c r="N155" s="88" t="s">
        <v>36</v>
      </c>
      <c r="O155" s="38">
        <f>I154*L155</f>
        <v>1E-4</v>
      </c>
      <c r="P155" s="304" t="s">
        <v>65</v>
      </c>
    </row>
    <row r="156" spans="1:17" ht="24" hidden="1" x14ac:dyDescent="0.2">
      <c r="A156" s="525"/>
      <c r="B156" s="430" t="s">
        <v>43</v>
      </c>
      <c r="C156" s="424"/>
      <c r="D156" s="462" t="s">
        <v>58</v>
      </c>
      <c r="E156" s="453">
        <v>3</v>
      </c>
      <c r="F156" s="417" t="s">
        <v>213</v>
      </c>
      <c r="G156" s="453"/>
      <c r="H156" s="440"/>
      <c r="I156" s="444">
        <f>I150</f>
        <v>0</v>
      </c>
      <c r="J156" s="440"/>
      <c r="K156" s="57" t="s">
        <v>138</v>
      </c>
      <c r="L156" s="49">
        <f>4.9/1000</f>
        <v>4.8999999999999998E-3</v>
      </c>
      <c r="M156" s="225" t="s">
        <v>199</v>
      </c>
      <c r="N156" s="88" t="s">
        <v>36</v>
      </c>
      <c r="O156" s="36">
        <f>I156*L156</f>
        <v>0</v>
      </c>
      <c r="P156" s="304" t="s">
        <v>65</v>
      </c>
    </row>
    <row r="157" spans="1:17" ht="12.75" hidden="1" x14ac:dyDescent="0.2">
      <c r="A157" s="525"/>
      <c r="B157" s="430"/>
      <c r="C157" s="425"/>
      <c r="D157" s="463"/>
      <c r="E157" s="455"/>
      <c r="F157" s="418"/>
      <c r="G157" s="455"/>
      <c r="H157" s="441"/>
      <c r="I157" s="445"/>
      <c r="J157" s="441"/>
      <c r="K157" s="54" t="s">
        <v>139</v>
      </c>
      <c r="L157" s="86">
        <f>0.02/1000</f>
        <v>2.0000000000000002E-5</v>
      </c>
      <c r="M157" s="225" t="s">
        <v>198</v>
      </c>
      <c r="N157" s="88" t="s">
        <v>36</v>
      </c>
      <c r="O157" s="55">
        <f>+I156*L157</f>
        <v>0</v>
      </c>
      <c r="P157" s="304" t="s">
        <v>65</v>
      </c>
    </row>
    <row r="158" spans="1:17" ht="25.5" hidden="1" x14ac:dyDescent="0.2">
      <c r="A158" s="471">
        <v>17</v>
      </c>
      <c r="B158" s="292" t="s">
        <v>227</v>
      </c>
      <c r="C158" s="74">
        <v>560</v>
      </c>
      <c r="D158" s="74">
        <v>32</v>
      </c>
      <c r="E158" s="74">
        <v>60</v>
      </c>
      <c r="F158" s="46"/>
      <c r="G158" s="46"/>
      <c r="H158" s="74">
        <v>50</v>
      </c>
      <c r="I158" s="42"/>
      <c r="J158" s="74"/>
      <c r="K158" s="104"/>
      <c r="L158" s="104"/>
      <c r="M158" s="94"/>
      <c r="N158" s="94"/>
      <c r="O158" s="74"/>
      <c r="P158" s="104"/>
      <c r="Q158" s="47"/>
    </row>
    <row r="159" spans="1:17" ht="15.75" hidden="1" customHeight="1" x14ac:dyDescent="0.2">
      <c r="A159" s="472"/>
      <c r="B159" s="331" t="s">
        <v>91</v>
      </c>
      <c r="C159" s="74"/>
      <c r="D159" s="104"/>
      <c r="E159" s="105"/>
      <c r="F159" s="76" t="s">
        <v>40</v>
      </c>
      <c r="G159" s="46"/>
      <c r="H159" s="74"/>
      <c r="I159" s="42">
        <f>I163</f>
        <v>27.36</v>
      </c>
      <c r="J159" s="74"/>
      <c r="K159" s="104"/>
      <c r="L159" s="104"/>
      <c r="M159" s="94"/>
      <c r="N159" s="94"/>
      <c r="O159" s="74"/>
      <c r="P159" s="104"/>
      <c r="Q159" s="47"/>
    </row>
    <row r="160" spans="1:17" ht="25.5" hidden="1" x14ac:dyDescent="0.2">
      <c r="A160" s="472"/>
      <c r="B160" s="331" t="s">
        <v>244</v>
      </c>
      <c r="C160" s="74"/>
      <c r="D160" s="407" t="s">
        <v>52</v>
      </c>
      <c r="E160" s="408"/>
      <c r="F160" s="76" t="s">
        <v>179</v>
      </c>
      <c r="G160" s="46"/>
      <c r="H160" s="74"/>
      <c r="I160" s="42"/>
      <c r="J160" s="42">
        <f>J161</f>
        <v>0.77</v>
      </c>
      <c r="K160" s="53"/>
      <c r="L160" s="53"/>
      <c r="M160" s="94"/>
      <c r="N160" s="94"/>
      <c r="O160" s="74"/>
      <c r="P160" s="104"/>
      <c r="Q160" s="47"/>
    </row>
    <row r="161" spans="1:17" ht="17.25" hidden="1" customHeight="1" x14ac:dyDescent="0.2">
      <c r="A161" s="472"/>
      <c r="B161" s="460" t="s">
        <v>245</v>
      </c>
      <c r="C161" s="424"/>
      <c r="D161" s="426" t="s">
        <v>52</v>
      </c>
      <c r="E161" s="427"/>
      <c r="F161" s="515" t="s">
        <v>72</v>
      </c>
      <c r="G161" s="440" t="s">
        <v>40</v>
      </c>
      <c r="H161" s="440"/>
      <c r="I161" s="444"/>
      <c r="J161" s="444">
        <f>((D158/1000)+(H158/1000))*(H158/1000)*3.14*E158</f>
        <v>0.77</v>
      </c>
      <c r="K161" s="115" t="s">
        <v>95</v>
      </c>
      <c r="L161" s="33">
        <v>525</v>
      </c>
      <c r="M161" s="73" t="s">
        <v>73</v>
      </c>
      <c r="N161" s="88" t="s">
        <v>31</v>
      </c>
      <c r="O161" s="34">
        <f>J161*L161</f>
        <v>404.25</v>
      </c>
      <c r="P161" s="304" t="s">
        <v>65</v>
      </c>
    </row>
    <row r="162" spans="1:17" ht="15" hidden="1" customHeight="1" x14ac:dyDescent="0.2">
      <c r="A162" s="472"/>
      <c r="B162" s="461"/>
      <c r="C162" s="425"/>
      <c r="D162" s="428"/>
      <c r="E162" s="429"/>
      <c r="F162" s="516"/>
      <c r="G162" s="441"/>
      <c r="H162" s="441"/>
      <c r="I162" s="445"/>
      <c r="J162" s="445"/>
      <c r="K162" s="115" t="s">
        <v>96</v>
      </c>
      <c r="L162" s="86">
        <f>0.4/1000</f>
        <v>4.0000000000000002E-4</v>
      </c>
      <c r="M162" s="226" t="s">
        <v>200</v>
      </c>
      <c r="N162" s="199" t="s">
        <v>36</v>
      </c>
      <c r="O162" s="170">
        <f>J161*L162</f>
        <v>2.9999999999999997E-4</v>
      </c>
      <c r="P162" s="304" t="s">
        <v>65</v>
      </c>
    </row>
    <row r="163" spans="1:17" ht="24" hidden="1" x14ac:dyDescent="0.2">
      <c r="A163" s="472"/>
      <c r="B163" s="477" t="s">
        <v>137</v>
      </c>
      <c r="C163" s="424"/>
      <c r="D163" s="440"/>
      <c r="E163" s="440"/>
      <c r="F163" s="440" t="s">
        <v>40</v>
      </c>
      <c r="G163" s="440"/>
      <c r="H163" s="440"/>
      <c r="I163" s="444">
        <f>3.14*(D158/1000+2*H158/1000)*1.1*E158</f>
        <v>27.36</v>
      </c>
      <c r="J163" s="440"/>
      <c r="K163" s="107" t="s">
        <v>97</v>
      </c>
      <c r="L163" s="86">
        <v>1.05</v>
      </c>
      <c r="M163" s="225" t="s">
        <v>202</v>
      </c>
      <c r="N163" s="199" t="s">
        <v>136</v>
      </c>
      <c r="O163" s="151">
        <f>I163*L163</f>
        <v>28.728000000000002</v>
      </c>
      <c r="P163" s="304" t="s">
        <v>65</v>
      </c>
    </row>
    <row r="164" spans="1:17" ht="36" hidden="1" customHeight="1" x14ac:dyDescent="0.2">
      <c r="A164" s="473"/>
      <c r="B164" s="478"/>
      <c r="C164" s="425"/>
      <c r="D164" s="441"/>
      <c r="E164" s="441"/>
      <c r="F164" s="441"/>
      <c r="G164" s="441"/>
      <c r="H164" s="441"/>
      <c r="I164" s="445"/>
      <c r="J164" s="441"/>
      <c r="K164" s="86" t="s">
        <v>98</v>
      </c>
      <c r="L164" s="86">
        <f>0.0304/1000</f>
        <v>3.04E-5</v>
      </c>
      <c r="M164" s="226" t="s">
        <v>200</v>
      </c>
      <c r="N164" s="199" t="s">
        <v>36</v>
      </c>
      <c r="O164" s="170">
        <f>I163*L164</f>
        <v>8.0000000000000004E-4</v>
      </c>
      <c r="P164" s="304" t="s">
        <v>65</v>
      </c>
    </row>
    <row r="165" spans="1:17" ht="25.5" hidden="1" x14ac:dyDescent="0.2">
      <c r="A165" s="479">
        <v>18</v>
      </c>
      <c r="B165" s="116" t="s">
        <v>228</v>
      </c>
      <c r="C165" s="79" t="s">
        <v>39</v>
      </c>
      <c r="D165" s="74">
        <v>426</v>
      </c>
      <c r="E165" s="229">
        <v>10</v>
      </c>
      <c r="F165" s="88"/>
      <c r="G165" s="88"/>
      <c r="H165" s="295">
        <v>120</v>
      </c>
      <c r="I165" s="88"/>
      <c r="J165" s="88"/>
      <c r="K165" s="86"/>
      <c r="L165" s="86"/>
      <c r="M165" s="39"/>
      <c r="N165" s="78"/>
      <c r="O165" s="88"/>
      <c r="P165" s="88"/>
    </row>
    <row r="166" spans="1:17" ht="25.5" hidden="1" x14ac:dyDescent="0.2">
      <c r="A166" s="480"/>
      <c r="B166" s="323" t="s">
        <v>38</v>
      </c>
      <c r="C166" s="194"/>
      <c r="D166" s="118" t="s">
        <v>58</v>
      </c>
      <c r="E166" s="193">
        <f>E165</f>
        <v>10</v>
      </c>
      <c r="F166" s="193"/>
      <c r="G166" s="193"/>
      <c r="H166" s="193"/>
      <c r="I166" s="119">
        <f>((D165/1000)+(2*H165/1000))*3.14*E170</f>
        <v>21</v>
      </c>
      <c r="J166" s="193"/>
      <c r="K166" s="193"/>
      <c r="L166" s="193"/>
      <c r="M166" s="117"/>
      <c r="N166" s="193"/>
      <c r="O166" s="193"/>
      <c r="P166" s="118"/>
    </row>
    <row r="167" spans="1:17" ht="25.5" hidden="1" x14ac:dyDescent="0.2">
      <c r="A167" s="480"/>
      <c r="B167" s="327" t="s">
        <v>87</v>
      </c>
      <c r="C167" s="194"/>
      <c r="D167" s="448" t="s">
        <v>52</v>
      </c>
      <c r="E167" s="448"/>
      <c r="F167" s="245" t="s">
        <v>50</v>
      </c>
      <c r="G167" s="193"/>
      <c r="H167" s="193"/>
      <c r="I167" s="119"/>
      <c r="J167" s="213">
        <f>J168</f>
        <v>2.1</v>
      </c>
      <c r="K167" s="193"/>
      <c r="L167" s="193"/>
      <c r="M167" s="117"/>
      <c r="N167" s="193"/>
      <c r="O167" s="193"/>
      <c r="P167" s="118"/>
    </row>
    <row r="168" spans="1:17" ht="38.25" hidden="1" x14ac:dyDescent="0.2">
      <c r="A168" s="480"/>
      <c r="B168" s="430" t="s">
        <v>88</v>
      </c>
      <c r="C168" s="431"/>
      <c r="D168" s="448" t="s">
        <v>52</v>
      </c>
      <c r="E168" s="448"/>
      <c r="F168" s="415" t="s">
        <v>50</v>
      </c>
      <c r="G168" s="417" t="s">
        <v>213</v>
      </c>
      <c r="H168" s="450"/>
      <c r="I168" s="450"/>
      <c r="J168" s="572">
        <f>((D165/1000)+(H165/1000))*(H165/1000)*3.14*E165</f>
        <v>2.1</v>
      </c>
      <c r="K168" s="195" t="s">
        <v>106</v>
      </c>
      <c r="L168" s="196">
        <v>1.24</v>
      </c>
      <c r="M168" s="227" t="s">
        <v>201</v>
      </c>
      <c r="N168" s="193" t="s">
        <v>135</v>
      </c>
      <c r="O168" s="120">
        <f>J168*L168</f>
        <v>2.6040000000000001</v>
      </c>
      <c r="P168" s="197" t="s">
        <v>65</v>
      </c>
      <c r="Q168" s="188"/>
    </row>
    <row r="169" spans="1:17" ht="15" hidden="1" customHeight="1" x14ac:dyDescent="0.2">
      <c r="A169" s="480"/>
      <c r="B169" s="430"/>
      <c r="C169" s="431"/>
      <c r="D169" s="448"/>
      <c r="E169" s="448"/>
      <c r="F169" s="416"/>
      <c r="G169" s="418"/>
      <c r="H169" s="451"/>
      <c r="I169" s="451"/>
      <c r="J169" s="573"/>
      <c r="K169" s="197" t="s">
        <v>107</v>
      </c>
      <c r="L169" s="192">
        <f>2.9/1000</f>
        <v>2.8999999999999998E-3</v>
      </c>
      <c r="M169" s="226" t="s">
        <v>200</v>
      </c>
      <c r="N169" s="193" t="s">
        <v>36</v>
      </c>
      <c r="O169" s="121">
        <f>J168*L169</f>
        <v>6.1000000000000004E-3</v>
      </c>
      <c r="P169" s="197" t="s">
        <v>65</v>
      </c>
    </row>
    <row r="170" spans="1:17" ht="25.5" hidden="1" customHeight="1" x14ac:dyDescent="0.2">
      <c r="A170" s="480"/>
      <c r="B170" s="430" t="s">
        <v>42</v>
      </c>
      <c r="C170" s="431"/>
      <c r="D170" s="436" t="s">
        <v>58</v>
      </c>
      <c r="E170" s="450">
        <f>E165</f>
        <v>10</v>
      </c>
      <c r="F170" s="417" t="s">
        <v>213</v>
      </c>
      <c r="G170" s="450"/>
      <c r="H170" s="450"/>
      <c r="I170" s="457">
        <f>I166</f>
        <v>21</v>
      </c>
      <c r="J170" s="450"/>
      <c r="K170" s="197" t="s">
        <v>89</v>
      </c>
      <c r="L170" s="192">
        <f>4.6/1000</f>
        <v>4.5999999999999999E-3</v>
      </c>
      <c r="M170" s="225" t="s">
        <v>199</v>
      </c>
      <c r="N170" s="193" t="s">
        <v>36</v>
      </c>
      <c r="O170" s="120">
        <f>I170*L170</f>
        <v>9.7000000000000003E-2</v>
      </c>
      <c r="P170" s="197" t="s">
        <v>65</v>
      </c>
    </row>
    <row r="171" spans="1:17" ht="12.75" hidden="1" x14ac:dyDescent="0.2">
      <c r="A171" s="481"/>
      <c r="B171" s="483"/>
      <c r="C171" s="431"/>
      <c r="D171" s="437"/>
      <c r="E171" s="451"/>
      <c r="F171" s="418"/>
      <c r="G171" s="451"/>
      <c r="H171" s="451"/>
      <c r="I171" s="458"/>
      <c r="J171" s="451"/>
      <c r="K171" s="197" t="s">
        <v>108</v>
      </c>
      <c r="L171" s="192">
        <f>0.015/1000</f>
        <v>1.5E-5</v>
      </c>
      <c r="M171" s="225" t="s">
        <v>198</v>
      </c>
      <c r="N171" s="193" t="s">
        <v>36</v>
      </c>
      <c r="O171" s="121">
        <f>I170*L171</f>
        <v>2.9999999999999997E-4</v>
      </c>
      <c r="P171" s="197" t="s">
        <v>65</v>
      </c>
    </row>
    <row r="172" spans="1:17" ht="25.5" hidden="1" x14ac:dyDescent="0.2">
      <c r="A172" s="624">
        <v>19</v>
      </c>
      <c r="B172" s="116" t="s">
        <v>254</v>
      </c>
      <c r="C172" s="100" t="s">
        <v>62</v>
      </c>
      <c r="D172" s="102">
        <v>219</v>
      </c>
      <c r="E172" s="102">
        <v>10</v>
      </c>
      <c r="F172" s="102"/>
      <c r="G172" s="102"/>
      <c r="H172" s="88">
        <v>120</v>
      </c>
      <c r="I172" s="102"/>
      <c r="J172" s="102"/>
      <c r="K172" s="102"/>
      <c r="L172" s="102"/>
      <c r="M172" s="117"/>
      <c r="N172" s="102"/>
      <c r="O172" s="102"/>
      <c r="P172" s="118"/>
    </row>
    <row r="173" spans="1:17" ht="25.5" hidden="1" x14ac:dyDescent="0.2">
      <c r="A173" s="625"/>
      <c r="B173" s="323" t="s">
        <v>38</v>
      </c>
      <c r="C173" s="100"/>
      <c r="D173" s="118" t="s">
        <v>58</v>
      </c>
      <c r="E173" s="102">
        <v>7</v>
      </c>
      <c r="F173" s="102"/>
      <c r="G173" s="102"/>
      <c r="H173" s="102"/>
      <c r="I173" s="119">
        <f>((D172/1000)+(2*H172/1000))*3.14*E173</f>
        <v>10</v>
      </c>
      <c r="J173" s="102"/>
      <c r="K173" s="102"/>
      <c r="L173" s="102"/>
      <c r="M173" s="117"/>
      <c r="N173" s="102"/>
      <c r="O173" s="102"/>
      <c r="P173" s="118"/>
    </row>
    <row r="174" spans="1:17" ht="25.5" hidden="1" x14ac:dyDescent="0.2">
      <c r="A174" s="625"/>
      <c r="B174" s="323" t="s">
        <v>41</v>
      </c>
      <c r="C174" s="100"/>
      <c r="D174" s="118" t="s">
        <v>58</v>
      </c>
      <c r="E174" s="102">
        <v>3</v>
      </c>
      <c r="F174" s="102"/>
      <c r="G174" s="102"/>
      <c r="H174" s="102"/>
      <c r="I174" s="119">
        <f>((D172/1000)+(2*H172/1000))*3.14*E174</f>
        <v>4</v>
      </c>
      <c r="J174" s="102"/>
      <c r="K174" s="102"/>
      <c r="L174" s="102"/>
      <c r="M174" s="117"/>
      <c r="N174" s="102"/>
      <c r="O174" s="102"/>
      <c r="P174" s="118"/>
    </row>
    <row r="175" spans="1:17" ht="25.5" hidden="1" x14ac:dyDescent="0.2">
      <c r="A175" s="625"/>
      <c r="B175" s="327" t="s">
        <v>87</v>
      </c>
      <c r="C175" s="100"/>
      <c r="D175" s="448" t="s">
        <v>52</v>
      </c>
      <c r="E175" s="448"/>
      <c r="F175" s="118" t="s">
        <v>50</v>
      </c>
      <c r="G175" s="102"/>
      <c r="H175" s="102"/>
      <c r="I175" s="119"/>
      <c r="J175" s="97">
        <f>J176</f>
        <v>1.3</v>
      </c>
      <c r="K175" s="102"/>
      <c r="L175" s="102"/>
      <c r="M175" s="117"/>
      <c r="N175" s="102"/>
      <c r="O175" s="102"/>
      <c r="P175" s="118"/>
    </row>
    <row r="176" spans="1:17" ht="38.25" hidden="1" x14ac:dyDescent="0.2">
      <c r="A176" s="625"/>
      <c r="B176" s="430" t="s">
        <v>88</v>
      </c>
      <c r="C176" s="431"/>
      <c r="D176" s="448" t="s">
        <v>52</v>
      </c>
      <c r="E176" s="448"/>
      <c r="F176" s="436" t="s">
        <v>50</v>
      </c>
      <c r="G176" s="417" t="s">
        <v>213</v>
      </c>
      <c r="H176" s="450"/>
      <c r="I176" s="450"/>
      <c r="J176" s="464">
        <f>((D172/1000)+(H172/1000))*(H172/1000)*3.14*E172</f>
        <v>1.3</v>
      </c>
      <c r="K176" s="73" t="s">
        <v>106</v>
      </c>
      <c r="L176" s="34">
        <v>1.24</v>
      </c>
      <c r="M176" s="227" t="s">
        <v>201</v>
      </c>
      <c r="N176" s="102" t="s">
        <v>135</v>
      </c>
      <c r="O176" s="120">
        <f>J176*L176</f>
        <v>1.6120000000000001</v>
      </c>
      <c r="P176" s="32" t="s">
        <v>65</v>
      </c>
    </row>
    <row r="177" spans="1:17" ht="12.75" hidden="1" x14ac:dyDescent="0.2">
      <c r="A177" s="625"/>
      <c r="B177" s="430"/>
      <c r="C177" s="431"/>
      <c r="D177" s="448"/>
      <c r="E177" s="448"/>
      <c r="F177" s="437"/>
      <c r="G177" s="418"/>
      <c r="H177" s="451"/>
      <c r="I177" s="451"/>
      <c r="J177" s="465"/>
      <c r="K177" s="32" t="s">
        <v>107</v>
      </c>
      <c r="L177" s="88">
        <f>2.9/1000</f>
        <v>2.8999999999999998E-3</v>
      </c>
      <c r="M177" s="226" t="s">
        <v>200</v>
      </c>
      <c r="N177" s="102" t="s">
        <v>36</v>
      </c>
      <c r="O177" s="121">
        <f>J176*L177</f>
        <v>3.8E-3</v>
      </c>
      <c r="P177" s="32" t="s">
        <v>65</v>
      </c>
    </row>
    <row r="178" spans="1:17" ht="24" hidden="1" x14ac:dyDescent="0.2">
      <c r="A178" s="625"/>
      <c r="B178" s="430" t="s">
        <v>42</v>
      </c>
      <c r="C178" s="431"/>
      <c r="D178" s="436" t="s">
        <v>58</v>
      </c>
      <c r="E178" s="450">
        <v>62</v>
      </c>
      <c r="F178" s="417" t="s">
        <v>213</v>
      </c>
      <c r="G178" s="450"/>
      <c r="H178" s="450"/>
      <c r="I178" s="457">
        <f>I173</f>
        <v>10</v>
      </c>
      <c r="J178" s="450"/>
      <c r="K178" s="32" t="s">
        <v>89</v>
      </c>
      <c r="L178" s="88">
        <f>4.6/1000</f>
        <v>4.5999999999999999E-3</v>
      </c>
      <c r="M178" s="225" t="s">
        <v>199</v>
      </c>
      <c r="N178" s="102" t="s">
        <v>36</v>
      </c>
      <c r="O178" s="120">
        <f>I178*L178</f>
        <v>4.5999999999999999E-2</v>
      </c>
      <c r="P178" s="32" t="s">
        <v>65</v>
      </c>
    </row>
    <row r="179" spans="1:17" ht="12.75" hidden="1" x14ac:dyDescent="0.2">
      <c r="A179" s="625"/>
      <c r="B179" s="483"/>
      <c r="C179" s="431"/>
      <c r="D179" s="437"/>
      <c r="E179" s="451"/>
      <c r="F179" s="418"/>
      <c r="G179" s="451"/>
      <c r="H179" s="451"/>
      <c r="I179" s="458"/>
      <c r="J179" s="451"/>
      <c r="K179" s="32" t="s">
        <v>108</v>
      </c>
      <c r="L179" s="88">
        <f>0.015/1000</f>
        <v>1.5E-5</v>
      </c>
      <c r="M179" s="225" t="s">
        <v>198</v>
      </c>
      <c r="N179" s="102" t="s">
        <v>36</v>
      </c>
      <c r="O179" s="121">
        <f>I178*L179</f>
        <v>2.0000000000000001E-4</v>
      </c>
      <c r="P179" s="32" t="s">
        <v>65</v>
      </c>
    </row>
    <row r="180" spans="1:17" ht="23.25" hidden="1" customHeight="1" x14ac:dyDescent="0.2">
      <c r="A180" s="625"/>
      <c r="B180" s="430" t="s">
        <v>43</v>
      </c>
      <c r="C180" s="467"/>
      <c r="D180" s="436" t="s">
        <v>58</v>
      </c>
      <c r="E180" s="450">
        <v>3</v>
      </c>
      <c r="F180" s="417" t="s">
        <v>213</v>
      </c>
      <c r="G180" s="450"/>
      <c r="H180" s="450"/>
      <c r="I180" s="457">
        <f>I174</f>
        <v>4</v>
      </c>
      <c r="J180" s="450"/>
      <c r="K180" s="32" t="s">
        <v>109</v>
      </c>
      <c r="L180" s="88">
        <f>4.9/1000</f>
        <v>4.8999999999999998E-3</v>
      </c>
      <c r="M180" s="225" t="s">
        <v>199</v>
      </c>
      <c r="N180" s="102" t="s">
        <v>36</v>
      </c>
      <c r="O180" s="120">
        <f>I180*L180</f>
        <v>0.02</v>
      </c>
      <c r="P180" s="32" t="s">
        <v>65</v>
      </c>
    </row>
    <row r="181" spans="1:17" ht="30.75" hidden="1" customHeight="1" x14ac:dyDescent="0.2">
      <c r="A181" s="625"/>
      <c r="B181" s="430"/>
      <c r="C181" s="468"/>
      <c r="D181" s="437"/>
      <c r="E181" s="451"/>
      <c r="F181" s="418"/>
      <c r="G181" s="451"/>
      <c r="H181" s="451"/>
      <c r="I181" s="458"/>
      <c r="J181" s="451"/>
      <c r="K181" s="32" t="s">
        <v>110</v>
      </c>
      <c r="L181" s="88">
        <f>0.02/1000</f>
        <v>2.0000000000000002E-5</v>
      </c>
      <c r="M181" s="225" t="s">
        <v>198</v>
      </c>
      <c r="N181" s="102" t="s">
        <v>36</v>
      </c>
      <c r="O181" s="121">
        <f>I180*L181</f>
        <v>1E-4</v>
      </c>
      <c r="P181" s="32" t="s">
        <v>65</v>
      </c>
    </row>
    <row r="182" spans="1:17" ht="12.75" hidden="1" x14ac:dyDescent="0.2">
      <c r="A182" s="283">
        <v>20</v>
      </c>
      <c r="B182" s="308" t="s">
        <v>255</v>
      </c>
      <c r="C182" s="261"/>
      <c r="D182" s="281"/>
      <c r="E182" s="260"/>
      <c r="F182" s="266"/>
      <c r="G182" s="260"/>
      <c r="H182" s="260"/>
      <c r="I182" s="269"/>
      <c r="J182" s="260"/>
      <c r="K182" s="270"/>
      <c r="L182" s="262"/>
      <c r="M182" s="225"/>
      <c r="N182" s="193"/>
      <c r="O182" s="121"/>
      <c r="P182" s="270"/>
    </row>
    <row r="183" spans="1:17" ht="25.5" hidden="1" x14ac:dyDescent="0.2">
      <c r="A183" s="284"/>
      <c r="B183" s="504" t="s">
        <v>190</v>
      </c>
      <c r="C183" s="409"/>
      <c r="D183" s="409"/>
      <c r="E183" s="409"/>
      <c r="F183" s="409"/>
      <c r="G183" s="409"/>
      <c r="H183" s="409"/>
      <c r="I183" s="409"/>
      <c r="J183" s="409"/>
      <c r="K183" s="73"/>
      <c r="L183" s="519" t="s">
        <v>128</v>
      </c>
      <c r="M183" s="52" t="s">
        <v>177</v>
      </c>
      <c r="N183" s="85" t="s">
        <v>36</v>
      </c>
      <c r="O183" s="110" t="s">
        <v>176</v>
      </c>
      <c r="P183" s="111" t="s">
        <v>65</v>
      </c>
      <c r="Q183" s="27"/>
    </row>
    <row r="184" spans="1:17" ht="38.25" hidden="1" x14ac:dyDescent="0.2">
      <c r="A184" s="284"/>
      <c r="B184" s="505"/>
      <c r="C184" s="409"/>
      <c r="D184" s="409"/>
      <c r="E184" s="409"/>
      <c r="F184" s="409"/>
      <c r="G184" s="409"/>
      <c r="H184" s="409"/>
      <c r="I184" s="409"/>
      <c r="J184" s="409"/>
      <c r="K184" s="112" t="s">
        <v>86</v>
      </c>
      <c r="L184" s="519"/>
      <c r="M184" s="80" t="s">
        <v>64</v>
      </c>
      <c r="N184" s="85" t="s">
        <v>30</v>
      </c>
      <c r="O184" s="113">
        <f>27.04/100*0.008</f>
        <v>2E-3</v>
      </c>
      <c r="P184" s="111" t="s">
        <v>65</v>
      </c>
    </row>
    <row r="185" spans="1:17" ht="48" hidden="1" customHeight="1" x14ac:dyDescent="0.2">
      <c r="A185" s="284"/>
      <c r="B185" s="505"/>
      <c r="C185" s="409"/>
      <c r="D185" s="409"/>
      <c r="E185" s="409"/>
      <c r="F185" s="409"/>
      <c r="G185" s="409"/>
      <c r="H185" s="409"/>
      <c r="I185" s="409"/>
      <c r="J185" s="409"/>
      <c r="K185" s="112" t="s">
        <v>86</v>
      </c>
      <c r="L185" s="519"/>
      <c r="M185" s="80" t="s">
        <v>66</v>
      </c>
      <c r="N185" s="85" t="s">
        <v>36</v>
      </c>
      <c r="O185" s="113">
        <f>27.04/100*0.029</f>
        <v>8.0000000000000002E-3</v>
      </c>
      <c r="P185" s="111" t="s">
        <v>65</v>
      </c>
    </row>
    <row r="186" spans="1:17" ht="12.75" hidden="1" x14ac:dyDescent="0.2">
      <c r="A186" s="285"/>
      <c r="B186" s="506"/>
      <c r="C186" s="409"/>
      <c r="D186" s="409"/>
      <c r="E186" s="409"/>
      <c r="F186" s="409"/>
      <c r="G186" s="409"/>
      <c r="H186" s="409"/>
      <c r="I186" s="409"/>
      <c r="J186" s="409"/>
      <c r="K186" s="112" t="s">
        <v>86</v>
      </c>
      <c r="L186" s="519"/>
      <c r="M186" s="80" t="s">
        <v>67</v>
      </c>
      <c r="N186" s="85" t="s">
        <v>33</v>
      </c>
      <c r="O186" s="114">
        <f>27.04/100*5.5</f>
        <v>1.4870000000000001</v>
      </c>
      <c r="P186" s="111" t="s">
        <v>65</v>
      </c>
    </row>
    <row r="187" spans="1:17" ht="25.5" hidden="1" x14ac:dyDescent="0.2">
      <c r="A187" s="525">
        <v>21</v>
      </c>
      <c r="B187" s="293" t="s">
        <v>256</v>
      </c>
      <c r="C187" s="137">
        <v>500</v>
      </c>
      <c r="D187" s="88"/>
      <c r="E187" s="88"/>
      <c r="F187" s="88"/>
      <c r="G187" s="88"/>
      <c r="H187" s="88">
        <v>200</v>
      </c>
      <c r="I187" s="34"/>
      <c r="J187" s="88"/>
      <c r="K187" s="88"/>
      <c r="L187" s="88"/>
      <c r="M187" s="576"/>
      <c r="N187" s="576"/>
      <c r="O187" s="88"/>
      <c r="P187" s="86"/>
    </row>
    <row r="188" spans="1:17" ht="23.25" hidden="1" customHeight="1" x14ac:dyDescent="0.2">
      <c r="A188" s="525"/>
      <c r="B188" s="117" t="s">
        <v>155</v>
      </c>
      <c r="C188" s="137"/>
      <c r="D188" s="88"/>
      <c r="E188" s="88"/>
      <c r="F188" s="234" t="s">
        <v>37</v>
      </c>
      <c r="G188" s="88"/>
      <c r="H188" s="88"/>
      <c r="I188" s="34"/>
      <c r="J188" s="88">
        <v>0.5</v>
      </c>
      <c r="K188" s="88"/>
      <c r="L188" s="88"/>
      <c r="M188" s="77"/>
      <c r="N188" s="77"/>
      <c r="O188" s="88"/>
      <c r="P188" s="86"/>
    </row>
    <row r="189" spans="1:17" ht="12.75" hidden="1" x14ac:dyDescent="0.2">
      <c r="A189" s="525"/>
      <c r="B189" s="496" t="s">
        <v>100</v>
      </c>
      <c r="C189" s="586"/>
      <c r="D189" s="503"/>
      <c r="E189" s="503"/>
      <c r="F189" s="474" t="s">
        <v>37</v>
      </c>
      <c r="G189" s="503"/>
      <c r="H189" s="503"/>
      <c r="I189" s="503"/>
      <c r="J189" s="503">
        <v>0.5</v>
      </c>
      <c r="K189" s="88"/>
      <c r="L189" s="88"/>
      <c r="M189" s="46" t="s">
        <v>57</v>
      </c>
      <c r="N189" s="46"/>
      <c r="O189" s="74"/>
      <c r="P189" s="104"/>
    </row>
    <row r="190" spans="1:17" ht="12.75" hidden="1" x14ac:dyDescent="0.2">
      <c r="A190" s="525"/>
      <c r="B190" s="496"/>
      <c r="C190" s="586"/>
      <c r="D190" s="503"/>
      <c r="E190" s="503"/>
      <c r="F190" s="474"/>
      <c r="G190" s="503"/>
      <c r="H190" s="503"/>
      <c r="I190" s="503"/>
      <c r="J190" s="503"/>
      <c r="K190" s="298" t="s">
        <v>101</v>
      </c>
      <c r="L190" s="301">
        <v>0.78300000000000003</v>
      </c>
      <c r="M190" s="46" t="s">
        <v>53</v>
      </c>
      <c r="N190" s="169"/>
      <c r="O190" s="74"/>
      <c r="P190" s="104"/>
      <c r="Q190" s="306"/>
    </row>
    <row r="191" spans="1:17" ht="25.5" hidden="1" x14ac:dyDescent="0.2">
      <c r="A191" s="525"/>
      <c r="B191" s="496"/>
      <c r="C191" s="586"/>
      <c r="D191" s="503"/>
      <c r="E191" s="503"/>
      <c r="F191" s="474"/>
      <c r="G191" s="503"/>
      <c r="H191" s="503"/>
      <c r="I191" s="503"/>
      <c r="J191" s="503"/>
      <c r="K191" s="93" t="s">
        <v>102</v>
      </c>
      <c r="L191" s="74">
        <v>1.02</v>
      </c>
      <c r="M191" s="43" t="s">
        <v>194</v>
      </c>
      <c r="N191" s="74" t="s">
        <v>36</v>
      </c>
      <c r="O191" s="151">
        <f>J189*L190*L191</f>
        <v>0.39900000000000002</v>
      </c>
      <c r="P191" s="300" t="s">
        <v>71</v>
      </c>
    </row>
    <row r="192" spans="1:17" ht="12.75" hidden="1" x14ac:dyDescent="0.2">
      <c r="A192" s="525"/>
      <c r="B192" s="496"/>
      <c r="C192" s="586"/>
      <c r="D192" s="503"/>
      <c r="E192" s="503"/>
      <c r="F192" s="474"/>
      <c r="G192" s="503"/>
      <c r="H192" s="503"/>
      <c r="I192" s="503"/>
      <c r="J192" s="503"/>
      <c r="K192" s="298" t="s">
        <v>103</v>
      </c>
      <c r="L192" s="301">
        <v>0.78300000000000003</v>
      </c>
      <c r="M192" s="46" t="s">
        <v>54</v>
      </c>
      <c r="N192" s="74"/>
      <c r="O192" s="170"/>
      <c r="P192" s="300"/>
    </row>
    <row r="193" spans="1:19" ht="12.75" hidden="1" x14ac:dyDescent="0.2">
      <c r="A193" s="525"/>
      <c r="B193" s="496"/>
      <c r="C193" s="586"/>
      <c r="D193" s="503"/>
      <c r="E193" s="503"/>
      <c r="F193" s="474"/>
      <c r="G193" s="503"/>
      <c r="H193" s="503"/>
      <c r="I193" s="503"/>
      <c r="J193" s="503"/>
      <c r="K193" s="93" t="s">
        <v>102</v>
      </c>
      <c r="L193" s="74">
        <v>1.02</v>
      </c>
      <c r="M193" s="46" t="s">
        <v>55</v>
      </c>
      <c r="N193" s="74" t="s">
        <v>36</v>
      </c>
      <c r="O193" s="151">
        <f>J189*L192*L193</f>
        <v>0.39900000000000002</v>
      </c>
      <c r="P193" s="300" t="s">
        <v>71</v>
      </c>
    </row>
    <row r="194" spans="1:19" ht="12.75" hidden="1" x14ac:dyDescent="0.2">
      <c r="A194" s="525"/>
      <c r="B194" s="496"/>
      <c r="C194" s="586"/>
      <c r="D194" s="503"/>
      <c r="E194" s="503"/>
      <c r="F194" s="474"/>
      <c r="G194" s="503"/>
      <c r="H194" s="503"/>
      <c r="I194" s="503"/>
      <c r="J194" s="503"/>
      <c r="K194" s="298" t="s">
        <v>104</v>
      </c>
      <c r="L194" s="301">
        <v>0.308</v>
      </c>
      <c r="M194" s="46" t="s">
        <v>56</v>
      </c>
      <c r="N194" s="74"/>
      <c r="O194" s="170"/>
      <c r="P194" s="300"/>
    </row>
    <row r="195" spans="1:19" ht="12.75" hidden="1" x14ac:dyDescent="0.2">
      <c r="A195" s="525"/>
      <c r="B195" s="496"/>
      <c r="C195" s="586"/>
      <c r="D195" s="503"/>
      <c r="E195" s="503"/>
      <c r="F195" s="474"/>
      <c r="G195" s="503"/>
      <c r="H195" s="503"/>
      <c r="I195" s="503"/>
      <c r="J195" s="503"/>
      <c r="K195" s="93" t="s">
        <v>102</v>
      </c>
      <c r="L195" s="74">
        <v>1.02</v>
      </c>
      <c r="M195" s="46" t="s">
        <v>105</v>
      </c>
      <c r="N195" s="74" t="s">
        <v>36</v>
      </c>
      <c r="O195" s="151">
        <f>J189*L194*L195</f>
        <v>0.157</v>
      </c>
      <c r="P195" s="300" t="s">
        <v>71</v>
      </c>
    </row>
    <row r="196" spans="1:19" ht="12.75" hidden="1" x14ac:dyDescent="0.2">
      <c r="A196" s="471">
        <v>22</v>
      </c>
      <c r="B196" s="292" t="s">
        <v>257</v>
      </c>
      <c r="C196" s="74">
        <v>500</v>
      </c>
      <c r="D196" s="229"/>
      <c r="E196" s="236"/>
      <c r="F196" s="74"/>
      <c r="G196" s="74"/>
      <c r="H196" s="74">
        <v>200</v>
      </c>
      <c r="I196" s="34"/>
      <c r="J196" s="88"/>
      <c r="K196" s="88"/>
      <c r="L196" s="88"/>
      <c r="M196" s="576"/>
      <c r="N196" s="576"/>
      <c r="O196" s="88"/>
      <c r="P196" s="88"/>
    </row>
    <row r="197" spans="1:19" ht="25.5" hidden="1" x14ac:dyDescent="0.2">
      <c r="A197" s="472"/>
      <c r="B197" s="327" t="s">
        <v>87</v>
      </c>
      <c r="C197" s="88"/>
      <c r="D197" s="439" t="s">
        <v>28</v>
      </c>
      <c r="E197" s="439"/>
      <c r="F197" s="88"/>
      <c r="G197" s="88"/>
      <c r="H197" s="88"/>
      <c r="I197" s="34"/>
      <c r="J197" s="90">
        <f>J198</f>
        <v>4</v>
      </c>
      <c r="K197" s="88"/>
      <c r="L197" s="88"/>
      <c r="M197" s="77"/>
      <c r="N197" s="77"/>
      <c r="O197" s="88"/>
      <c r="P197" s="88"/>
    </row>
    <row r="198" spans="1:19" ht="38.25" hidden="1" x14ac:dyDescent="0.2">
      <c r="A198" s="472"/>
      <c r="B198" s="430" t="s">
        <v>80</v>
      </c>
      <c r="C198" s="433"/>
      <c r="D198" s="439" t="s">
        <v>28</v>
      </c>
      <c r="E198" s="439"/>
      <c r="F198" s="439" t="s">
        <v>50</v>
      </c>
      <c r="G198" s="578" t="s">
        <v>29</v>
      </c>
      <c r="H198" s="409"/>
      <c r="I198" s="409"/>
      <c r="J198" s="563">
        <f>I200*H196/1000</f>
        <v>4</v>
      </c>
      <c r="K198" s="73" t="s">
        <v>81</v>
      </c>
      <c r="L198" s="34">
        <v>1.24</v>
      </c>
      <c r="M198" s="227" t="s">
        <v>212</v>
      </c>
      <c r="N198" s="88" t="s">
        <v>135</v>
      </c>
      <c r="O198" s="36">
        <f>J198*L198</f>
        <v>4.96</v>
      </c>
      <c r="P198" s="296" t="s">
        <v>65</v>
      </c>
    </row>
    <row r="199" spans="1:19" ht="12.75" hidden="1" x14ac:dyDescent="0.2">
      <c r="A199" s="472"/>
      <c r="B199" s="430"/>
      <c r="C199" s="433"/>
      <c r="D199" s="439"/>
      <c r="E199" s="439"/>
      <c r="F199" s="439"/>
      <c r="G199" s="578"/>
      <c r="H199" s="409"/>
      <c r="I199" s="409"/>
      <c r="J199" s="563"/>
      <c r="K199" s="32" t="s">
        <v>151</v>
      </c>
      <c r="L199" s="88">
        <f>2.5/1000</f>
        <v>2.5000000000000001E-3</v>
      </c>
      <c r="M199" s="226" t="s">
        <v>200</v>
      </c>
      <c r="N199" s="88" t="s">
        <v>36</v>
      </c>
      <c r="O199" s="36">
        <f>J198*L199</f>
        <v>0.01</v>
      </c>
      <c r="P199" s="296" t="s">
        <v>65</v>
      </c>
    </row>
    <row r="200" spans="1:19" s="207" customFormat="1" ht="25.5" hidden="1" x14ac:dyDescent="0.2">
      <c r="A200" s="472"/>
      <c r="B200" s="459" t="s">
        <v>32</v>
      </c>
      <c r="C200" s="424"/>
      <c r="D200" s="507"/>
      <c r="E200" s="508"/>
      <c r="F200" s="404" t="s">
        <v>29</v>
      </c>
      <c r="G200" s="440" t="s">
        <v>152</v>
      </c>
      <c r="H200" s="424"/>
      <c r="I200" s="572">
        <v>20</v>
      </c>
      <c r="J200" s="424"/>
      <c r="K200" s="204" t="s">
        <v>83</v>
      </c>
      <c r="L200" s="201">
        <v>1.05</v>
      </c>
      <c r="M200" s="149" t="s">
        <v>221</v>
      </c>
      <c r="N200" s="201" t="s">
        <v>136</v>
      </c>
      <c r="O200" s="203">
        <f>I200*L200</f>
        <v>21</v>
      </c>
      <c r="P200" s="296" t="s">
        <v>65</v>
      </c>
    </row>
    <row r="201" spans="1:19" s="207" customFormat="1" ht="12.75" hidden="1" x14ac:dyDescent="0.2">
      <c r="A201" s="472"/>
      <c r="B201" s="459"/>
      <c r="C201" s="425"/>
      <c r="D201" s="509"/>
      <c r="E201" s="510"/>
      <c r="F201" s="406"/>
      <c r="G201" s="441"/>
      <c r="H201" s="425"/>
      <c r="I201" s="573"/>
      <c r="J201" s="425"/>
      <c r="K201" s="204" t="s">
        <v>84</v>
      </c>
      <c r="L201" s="201">
        <f>0.03/1000</f>
        <v>3.0000000000000001E-5</v>
      </c>
      <c r="M201" s="226" t="s">
        <v>200</v>
      </c>
      <c r="N201" s="201" t="s">
        <v>36</v>
      </c>
      <c r="O201" s="38">
        <f>I200*L201</f>
        <v>5.9999999999999995E-4</v>
      </c>
      <c r="P201" s="296" t="s">
        <v>65</v>
      </c>
    </row>
    <row r="202" spans="1:19" s="207" customFormat="1" ht="25.5" hidden="1" x14ac:dyDescent="0.2">
      <c r="A202" s="472"/>
      <c r="B202" s="430" t="s">
        <v>34</v>
      </c>
      <c r="C202" s="424"/>
      <c r="D202" s="507"/>
      <c r="E202" s="508"/>
      <c r="F202" s="404" t="s">
        <v>127</v>
      </c>
      <c r="G202" s="424"/>
      <c r="H202" s="424"/>
      <c r="I202" s="572">
        <f>I200</f>
        <v>20</v>
      </c>
      <c r="J202" s="424"/>
      <c r="K202" s="204" t="s">
        <v>85</v>
      </c>
      <c r="L202" s="201">
        <f>18/1000</f>
        <v>1.7999999999999999E-2</v>
      </c>
      <c r="M202" s="149" t="s">
        <v>195</v>
      </c>
      <c r="N202" s="201" t="s">
        <v>36</v>
      </c>
      <c r="O202" s="36">
        <f>I202*L202</f>
        <v>0.36</v>
      </c>
      <c r="P202" s="296" t="s">
        <v>65</v>
      </c>
    </row>
    <row r="203" spans="1:19" s="207" customFormat="1" ht="25.5" hidden="1" x14ac:dyDescent="0.2">
      <c r="A203" s="472"/>
      <c r="B203" s="432"/>
      <c r="C203" s="425"/>
      <c r="D203" s="509"/>
      <c r="E203" s="510"/>
      <c r="F203" s="406"/>
      <c r="G203" s="425"/>
      <c r="H203" s="425"/>
      <c r="I203" s="573"/>
      <c r="J203" s="425"/>
      <c r="K203" s="204" t="s">
        <v>85</v>
      </c>
      <c r="L203" s="201">
        <f>5.2/1000</f>
        <v>5.1999999999999998E-3</v>
      </c>
      <c r="M203" s="149" t="s">
        <v>197</v>
      </c>
      <c r="N203" s="201" t="s">
        <v>36</v>
      </c>
      <c r="O203" s="36">
        <f>I202*L203</f>
        <v>0.104</v>
      </c>
      <c r="P203" s="296" t="s">
        <v>65</v>
      </c>
      <c r="R203" s="315"/>
    </row>
    <row r="204" spans="1:19" ht="18.75" hidden="1" customHeight="1" x14ac:dyDescent="0.2">
      <c r="A204" s="472"/>
      <c r="B204" s="326" t="s">
        <v>153</v>
      </c>
      <c r="C204" s="171"/>
      <c r="D204" s="171" t="s">
        <v>28</v>
      </c>
      <c r="E204" s="171"/>
      <c r="F204" s="245"/>
      <c r="G204" s="171"/>
      <c r="H204" s="171"/>
      <c r="I204" s="172">
        <v>20</v>
      </c>
      <c r="J204" s="171"/>
      <c r="K204" s="173"/>
      <c r="L204" s="173"/>
      <c r="M204" s="174"/>
      <c r="N204" s="98"/>
      <c r="O204" s="98"/>
      <c r="P204" s="106"/>
      <c r="R204" s="243"/>
    </row>
    <row r="205" spans="1:19" ht="12.75" hidden="1" x14ac:dyDescent="0.2">
      <c r="A205" s="472"/>
      <c r="B205" s="568" t="s">
        <v>154</v>
      </c>
      <c r="C205" s="570"/>
      <c r="D205" s="579"/>
      <c r="E205" s="580"/>
      <c r="F205" s="462" t="s">
        <v>241</v>
      </c>
      <c r="G205" s="568"/>
      <c r="H205" s="568"/>
      <c r="I205" s="486">
        <f>I204</f>
        <v>20</v>
      </c>
      <c r="J205" s="568"/>
      <c r="K205" s="122" t="s">
        <v>102</v>
      </c>
      <c r="L205" s="104">
        <f>42.5/1000</f>
        <v>4.2500000000000003E-2</v>
      </c>
      <c r="M205" s="43" t="s">
        <v>240</v>
      </c>
      <c r="N205" s="321" t="s">
        <v>36</v>
      </c>
      <c r="O205" s="322">
        <f>J198*L205</f>
        <v>0.17</v>
      </c>
      <c r="P205" s="312" t="s">
        <v>65</v>
      </c>
      <c r="R205" s="315"/>
    </row>
    <row r="206" spans="1:19" ht="24.75" hidden="1" customHeight="1" x14ac:dyDescent="0.2">
      <c r="A206" s="473"/>
      <c r="B206" s="569"/>
      <c r="C206" s="571"/>
      <c r="D206" s="581"/>
      <c r="E206" s="582"/>
      <c r="F206" s="567"/>
      <c r="G206" s="569"/>
      <c r="H206" s="569"/>
      <c r="I206" s="487"/>
      <c r="J206" s="569"/>
      <c r="K206" s="174" t="s">
        <v>102</v>
      </c>
      <c r="L206" s="175">
        <f>2.28/1000</f>
        <v>2.2799999999999999E-3</v>
      </c>
      <c r="M206" s="37" t="s">
        <v>209</v>
      </c>
      <c r="N206" s="98" t="s">
        <v>36</v>
      </c>
      <c r="O206" s="187">
        <f>I205*L206</f>
        <v>4.5600000000000002E-2</v>
      </c>
      <c r="P206" s="316" t="s">
        <v>65</v>
      </c>
      <c r="R206" s="315"/>
    </row>
    <row r="207" spans="1:19" ht="21" hidden="1" customHeight="1" x14ac:dyDescent="0.2">
      <c r="A207" s="593">
        <v>23</v>
      </c>
      <c r="B207" s="328" t="s">
        <v>258</v>
      </c>
      <c r="C207" s="88">
        <v>350</v>
      </c>
      <c r="D207" s="88"/>
      <c r="E207" s="88"/>
      <c r="F207" s="88"/>
      <c r="G207" s="88"/>
      <c r="H207" s="88">
        <v>200</v>
      </c>
      <c r="I207" s="88"/>
      <c r="J207" s="88"/>
      <c r="K207" s="88"/>
      <c r="L207" s="88"/>
      <c r="M207" s="77"/>
      <c r="N207" s="88"/>
      <c r="O207" s="88"/>
      <c r="P207" s="88"/>
      <c r="Q207" s="17"/>
      <c r="R207" s="17"/>
      <c r="S207" s="17"/>
    </row>
    <row r="208" spans="1:19" ht="25.5" hidden="1" x14ac:dyDescent="0.2">
      <c r="A208" s="594"/>
      <c r="B208" s="327" t="s">
        <v>79</v>
      </c>
      <c r="C208" s="88"/>
      <c r="D208" s="439" t="s">
        <v>28</v>
      </c>
      <c r="E208" s="439"/>
      <c r="F208" s="88"/>
      <c r="G208" s="88"/>
      <c r="H208" s="88"/>
      <c r="I208" s="88"/>
      <c r="J208" s="90">
        <f>J209</f>
        <v>10</v>
      </c>
      <c r="K208" s="88"/>
      <c r="L208" s="88"/>
      <c r="M208" s="77"/>
      <c r="N208" s="88"/>
      <c r="O208" s="88"/>
      <c r="P208" s="88"/>
      <c r="Q208" s="17"/>
      <c r="R208" s="242"/>
      <c r="S208" s="17"/>
    </row>
    <row r="209" spans="1:20" ht="38.25" hidden="1" x14ac:dyDescent="0.2">
      <c r="A209" s="594"/>
      <c r="B209" s="430" t="s">
        <v>80</v>
      </c>
      <c r="C209" s="433"/>
      <c r="D209" s="439" t="s">
        <v>28</v>
      </c>
      <c r="E209" s="439"/>
      <c r="F209" s="411" t="s">
        <v>50</v>
      </c>
      <c r="G209" s="411" t="s">
        <v>29</v>
      </c>
      <c r="H209" s="433"/>
      <c r="I209" s="433"/>
      <c r="J209" s="438">
        <f>I211*H207/1000</f>
        <v>10</v>
      </c>
      <c r="K209" s="73" t="s">
        <v>81</v>
      </c>
      <c r="L209" s="34">
        <v>1.24</v>
      </c>
      <c r="M209" s="227" t="s">
        <v>212</v>
      </c>
      <c r="N209" s="88" t="s">
        <v>135</v>
      </c>
      <c r="O209" s="36">
        <f>J209*L209</f>
        <v>12.4</v>
      </c>
      <c r="P209" s="32" t="s">
        <v>65</v>
      </c>
      <c r="Q209" s="17"/>
      <c r="R209" s="242"/>
      <c r="S209" s="17"/>
    </row>
    <row r="210" spans="1:20" ht="12.75" hidden="1" x14ac:dyDescent="0.2">
      <c r="A210" s="594"/>
      <c r="B210" s="430"/>
      <c r="C210" s="433"/>
      <c r="D210" s="439"/>
      <c r="E210" s="439"/>
      <c r="F210" s="411"/>
      <c r="G210" s="411"/>
      <c r="H210" s="433"/>
      <c r="I210" s="433"/>
      <c r="J210" s="438"/>
      <c r="K210" s="73" t="s">
        <v>82</v>
      </c>
      <c r="L210" s="88">
        <f>2.5/1000</f>
        <v>2.5000000000000001E-3</v>
      </c>
      <c r="M210" s="226" t="s">
        <v>200</v>
      </c>
      <c r="N210" s="88" t="s">
        <v>36</v>
      </c>
      <c r="O210" s="36">
        <f>J209*L210</f>
        <v>2.5000000000000001E-2</v>
      </c>
      <c r="P210" s="32" t="s">
        <v>65</v>
      </c>
      <c r="Q210" s="17"/>
      <c r="R210" s="17"/>
      <c r="S210" s="17"/>
    </row>
    <row r="211" spans="1:20" ht="25.5" hidden="1" x14ac:dyDescent="0.2">
      <c r="A211" s="594"/>
      <c r="B211" s="430" t="s">
        <v>32</v>
      </c>
      <c r="C211" s="433"/>
      <c r="D211" s="433"/>
      <c r="E211" s="433"/>
      <c r="F211" s="411" t="s">
        <v>29</v>
      </c>
      <c r="G211" s="410" t="s">
        <v>63</v>
      </c>
      <c r="H211" s="433"/>
      <c r="I211" s="409">
        <v>50</v>
      </c>
      <c r="J211" s="433"/>
      <c r="K211" s="73" t="s">
        <v>83</v>
      </c>
      <c r="L211" s="88">
        <v>1.05</v>
      </c>
      <c r="M211" s="149" t="s">
        <v>221</v>
      </c>
      <c r="N211" s="88" t="s">
        <v>136</v>
      </c>
      <c r="O211" s="34">
        <f>I211*L211</f>
        <v>52.5</v>
      </c>
      <c r="P211" s="270" t="s">
        <v>65</v>
      </c>
      <c r="Q211" s="26"/>
      <c r="R211" s="19"/>
      <c r="S211" s="17"/>
    </row>
    <row r="212" spans="1:20" ht="12.75" hidden="1" x14ac:dyDescent="0.2">
      <c r="A212" s="594"/>
      <c r="B212" s="430"/>
      <c r="C212" s="433"/>
      <c r="D212" s="433"/>
      <c r="E212" s="433"/>
      <c r="F212" s="411"/>
      <c r="G212" s="410"/>
      <c r="H212" s="433"/>
      <c r="I212" s="409"/>
      <c r="J212" s="433"/>
      <c r="K212" s="73" t="s">
        <v>84</v>
      </c>
      <c r="L212" s="88">
        <f>0.03/1000</f>
        <v>3.0000000000000001E-5</v>
      </c>
      <c r="M212" s="226" t="s">
        <v>200</v>
      </c>
      <c r="N212" s="88" t="s">
        <v>36</v>
      </c>
      <c r="O212" s="38">
        <f>I211*L212</f>
        <v>1.5E-3</v>
      </c>
      <c r="P212" s="32" t="s">
        <v>65</v>
      </c>
      <c r="Q212" s="26"/>
      <c r="R212" s="19"/>
      <c r="S212" s="17"/>
    </row>
    <row r="213" spans="1:20" ht="25.5" hidden="1" x14ac:dyDescent="0.2">
      <c r="A213" s="594"/>
      <c r="B213" s="430" t="s">
        <v>34</v>
      </c>
      <c r="C213" s="433"/>
      <c r="D213" s="433"/>
      <c r="E213" s="433"/>
      <c r="F213" s="439" t="s">
        <v>63</v>
      </c>
      <c r="G213" s="433"/>
      <c r="H213" s="433"/>
      <c r="I213" s="409">
        <v>50</v>
      </c>
      <c r="J213" s="433"/>
      <c r="K213" s="73" t="s">
        <v>85</v>
      </c>
      <c r="L213" s="88">
        <f>18/1000</f>
        <v>1.7999999999999999E-2</v>
      </c>
      <c r="M213" s="149" t="s">
        <v>195</v>
      </c>
      <c r="N213" s="88" t="s">
        <v>36</v>
      </c>
      <c r="O213" s="36">
        <f>I213*L213</f>
        <v>0.9</v>
      </c>
      <c r="P213" s="32" t="s">
        <v>65</v>
      </c>
      <c r="Q213" s="26"/>
      <c r="R213" s="19"/>
      <c r="S213" s="17"/>
    </row>
    <row r="214" spans="1:20" ht="25.5" hidden="1" x14ac:dyDescent="0.2">
      <c r="A214" s="595"/>
      <c r="B214" s="430"/>
      <c r="C214" s="433"/>
      <c r="D214" s="433"/>
      <c r="E214" s="433"/>
      <c r="F214" s="439"/>
      <c r="G214" s="433"/>
      <c r="H214" s="433"/>
      <c r="I214" s="409"/>
      <c r="J214" s="433"/>
      <c r="K214" s="73" t="s">
        <v>85</v>
      </c>
      <c r="L214" s="88">
        <f>5.2/1000</f>
        <v>5.1999999999999998E-3</v>
      </c>
      <c r="M214" s="149" t="s">
        <v>197</v>
      </c>
      <c r="N214" s="88" t="s">
        <v>36</v>
      </c>
      <c r="O214" s="36">
        <f>I213*L214</f>
        <v>0.26</v>
      </c>
      <c r="P214" s="32" t="s">
        <v>65</v>
      </c>
      <c r="Q214" s="26"/>
      <c r="R214" s="19"/>
      <c r="S214" s="17"/>
    </row>
    <row r="215" spans="1:20" ht="12.75" hidden="1" x14ac:dyDescent="0.2">
      <c r="A215" s="593">
        <v>24</v>
      </c>
      <c r="B215" s="308" t="s">
        <v>259</v>
      </c>
      <c r="C215" s="272"/>
      <c r="D215" s="272"/>
      <c r="E215" s="272"/>
      <c r="F215" s="270"/>
      <c r="G215" s="272"/>
      <c r="H215" s="272"/>
      <c r="I215" s="262"/>
      <c r="J215" s="272"/>
      <c r="K215" s="276"/>
      <c r="L215" s="262"/>
      <c r="M215" s="288"/>
      <c r="N215" s="262"/>
      <c r="O215" s="36"/>
      <c r="P215" s="270"/>
      <c r="Q215" s="26"/>
      <c r="R215" s="19"/>
      <c r="S215" s="17"/>
    </row>
    <row r="216" spans="1:20" ht="28.5" hidden="1" customHeight="1" x14ac:dyDescent="0.2">
      <c r="A216" s="594"/>
      <c r="B216" s="504" t="s">
        <v>243</v>
      </c>
      <c r="C216" s="409"/>
      <c r="D216" s="409"/>
      <c r="E216" s="409"/>
      <c r="F216" s="409"/>
      <c r="G216" s="409"/>
      <c r="H216" s="409"/>
      <c r="I216" s="409"/>
      <c r="J216" s="409"/>
      <c r="K216" s="88"/>
      <c r="L216" s="519" t="s">
        <v>128</v>
      </c>
      <c r="M216" s="77" t="s">
        <v>51</v>
      </c>
      <c r="N216" s="74" t="s">
        <v>180</v>
      </c>
      <c r="O216" s="150" t="s">
        <v>203</v>
      </c>
      <c r="P216" s="32" t="s">
        <v>65</v>
      </c>
      <c r="Q216" s="27" t="s">
        <v>141</v>
      </c>
      <c r="R216" s="2"/>
      <c r="S216" s="2"/>
      <c r="T216" s="1"/>
    </row>
    <row r="217" spans="1:20" ht="37.5" hidden="1" customHeight="1" x14ac:dyDescent="0.2">
      <c r="A217" s="594"/>
      <c r="B217" s="505"/>
      <c r="C217" s="409"/>
      <c r="D217" s="409"/>
      <c r="E217" s="409"/>
      <c r="F217" s="409"/>
      <c r="G217" s="409"/>
      <c r="H217" s="409"/>
      <c r="I217" s="409"/>
      <c r="J217" s="409"/>
      <c r="K217" s="112" t="s">
        <v>86</v>
      </c>
      <c r="L217" s="519"/>
      <c r="M217" s="73" t="s">
        <v>64</v>
      </c>
      <c r="N217" s="74" t="s">
        <v>30</v>
      </c>
      <c r="O217" s="151">
        <f>54.08/100*0.008</f>
        <v>4.0000000000000001E-3</v>
      </c>
      <c r="P217" s="32" t="s">
        <v>65</v>
      </c>
      <c r="Q217" s="25"/>
      <c r="R217" s="2"/>
      <c r="S217" s="2"/>
      <c r="T217" s="1"/>
    </row>
    <row r="218" spans="1:20" ht="36" hidden="1" customHeight="1" x14ac:dyDescent="0.2">
      <c r="A218" s="594"/>
      <c r="B218" s="505"/>
      <c r="C218" s="409"/>
      <c r="D218" s="409"/>
      <c r="E218" s="409"/>
      <c r="F218" s="409"/>
      <c r="G218" s="409"/>
      <c r="H218" s="409"/>
      <c r="I218" s="409"/>
      <c r="J218" s="409"/>
      <c r="K218" s="112" t="s">
        <v>86</v>
      </c>
      <c r="L218" s="519"/>
      <c r="M218" s="73" t="s">
        <v>66</v>
      </c>
      <c r="N218" s="74" t="s">
        <v>36</v>
      </c>
      <c r="O218" s="151">
        <f>54.08/100*0.029</f>
        <v>1.6E-2</v>
      </c>
      <c r="P218" s="32" t="s">
        <v>65</v>
      </c>
      <c r="Q218" s="25"/>
      <c r="R218" s="2"/>
      <c r="S218" s="2"/>
      <c r="T218" s="1"/>
    </row>
    <row r="219" spans="1:20" ht="24.75" hidden="1" customHeight="1" x14ac:dyDescent="0.2">
      <c r="A219" s="595"/>
      <c r="B219" s="506"/>
      <c r="C219" s="409"/>
      <c r="D219" s="409"/>
      <c r="E219" s="409"/>
      <c r="F219" s="409"/>
      <c r="G219" s="409"/>
      <c r="H219" s="409"/>
      <c r="I219" s="409"/>
      <c r="J219" s="409"/>
      <c r="K219" s="112" t="s">
        <v>86</v>
      </c>
      <c r="L219" s="519"/>
      <c r="M219" s="73" t="s">
        <v>67</v>
      </c>
      <c r="N219" s="74" t="s">
        <v>33</v>
      </c>
      <c r="O219" s="152">
        <f>54.08/100*5.5</f>
        <v>2.9740000000000002</v>
      </c>
      <c r="P219" s="32" t="s">
        <v>65</v>
      </c>
      <c r="Q219" s="25"/>
      <c r="R219" s="2"/>
      <c r="S219" s="2"/>
      <c r="T219" s="1"/>
    </row>
    <row r="220" spans="1:20" ht="18" hidden="1" customHeight="1" x14ac:dyDescent="0.2">
      <c r="A220" s="593">
        <v>25</v>
      </c>
      <c r="B220" s="328" t="s">
        <v>260</v>
      </c>
      <c r="C220" s="89" t="s">
        <v>142</v>
      </c>
      <c r="D220" s="88"/>
      <c r="E220" s="88"/>
      <c r="F220" s="88"/>
      <c r="G220" s="88"/>
      <c r="H220" s="88">
        <v>200</v>
      </c>
      <c r="I220" s="88"/>
      <c r="J220" s="88"/>
      <c r="K220" s="176"/>
      <c r="L220" s="88"/>
      <c r="M220" s="77"/>
      <c r="N220" s="88"/>
      <c r="O220" s="34"/>
      <c r="P220" s="32"/>
      <c r="Q220" s="25"/>
      <c r="R220" s="2"/>
      <c r="S220" s="2"/>
      <c r="T220" s="1"/>
    </row>
    <row r="221" spans="1:20" ht="25.5" hidden="1" x14ac:dyDescent="0.2">
      <c r="A221" s="594"/>
      <c r="B221" s="327" t="s">
        <v>87</v>
      </c>
      <c r="C221" s="89"/>
      <c r="D221" s="409" t="s">
        <v>28</v>
      </c>
      <c r="E221" s="409"/>
      <c r="F221" s="88"/>
      <c r="G221" s="88"/>
      <c r="H221" s="88"/>
      <c r="I221" s="88"/>
      <c r="J221" s="90">
        <f>J222</f>
        <v>7</v>
      </c>
      <c r="K221" s="176"/>
      <c r="L221" s="88"/>
      <c r="M221" s="77"/>
      <c r="N221" s="88"/>
      <c r="O221" s="34"/>
      <c r="P221" s="32"/>
      <c r="Q221" s="25"/>
      <c r="R221" s="23"/>
      <c r="S221" s="23"/>
      <c r="T221" s="1"/>
    </row>
    <row r="222" spans="1:20" ht="51.75" hidden="1" customHeight="1" x14ac:dyDescent="0.2">
      <c r="A222" s="594"/>
      <c r="B222" s="430" t="s">
        <v>88</v>
      </c>
      <c r="C222" s="433"/>
      <c r="D222" s="409" t="s">
        <v>28</v>
      </c>
      <c r="E222" s="409"/>
      <c r="F222" s="411" t="s">
        <v>50</v>
      </c>
      <c r="G222" s="411" t="s">
        <v>29</v>
      </c>
      <c r="H222" s="433"/>
      <c r="I222" s="433"/>
      <c r="J222" s="438">
        <f>I224*(H220/1000)</f>
        <v>7</v>
      </c>
      <c r="K222" s="73" t="s">
        <v>81</v>
      </c>
      <c r="L222" s="34">
        <v>1.24</v>
      </c>
      <c r="M222" s="227" t="s">
        <v>201</v>
      </c>
      <c r="N222" s="88" t="s">
        <v>135</v>
      </c>
      <c r="O222" s="36">
        <f>J222*L222</f>
        <v>8.68</v>
      </c>
      <c r="P222" s="32" t="s">
        <v>65</v>
      </c>
      <c r="Q222" s="25"/>
      <c r="R222" s="2"/>
      <c r="S222" s="2"/>
      <c r="T222" s="1"/>
    </row>
    <row r="223" spans="1:20" ht="12.75" hidden="1" x14ac:dyDescent="0.2">
      <c r="A223" s="594"/>
      <c r="B223" s="430"/>
      <c r="C223" s="433"/>
      <c r="D223" s="409"/>
      <c r="E223" s="409"/>
      <c r="F223" s="411"/>
      <c r="G223" s="411"/>
      <c r="H223" s="433"/>
      <c r="I223" s="433"/>
      <c r="J223" s="438"/>
      <c r="K223" s="73" t="s">
        <v>82</v>
      </c>
      <c r="L223" s="88">
        <f>2.5/1000</f>
        <v>2.5000000000000001E-3</v>
      </c>
      <c r="M223" s="226" t="s">
        <v>200</v>
      </c>
      <c r="N223" s="88" t="s">
        <v>36</v>
      </c>
      <c r="O223" s="38">
        <f>J222*L223</f>
        <v>1.7500000000000002E-2</v>
      </c>
      <c r="P223" s="32" t="s">
        <v>65</v>
      </c>
      <c r="Q223" s="25"/>
      <c r="R223" s="2"/>
      <c r="S223" s="2"/>
      <c r="T223" s="1"/>
    </row>
    <row r="224" spans="1:20" ht="25.5" hidden="1" x14ac:dyDescent="0.2">
      <c r="A224" s="594"/>
      <c r="B224" s="430" t="s">
        <v>32</v>
      </c>
      <c r="C224" s="433"/>
      <c r="D224" s="433"/>
      <c r="E224" s="433"/>
      <c r="F224" s="411" t="s">
        <v>29</v>
      </c>
      <c r="G224" s="410" t="s">
        <v>63</v>
      </c>
      <c r="H224" s="433"/>
      <c r="I224" s="409">
        <v>35</v>
      </c>
      <c r="J224" s="433"/>
      <c r="K224" s="73" t="s">
        <v>83</v>
      </c>
      <c r="L224" s="88">
        <v>1.05</v>
      </c>
      <c r="M224" s="149" t="s">
        <v>222</v>
      </c>
      <c r="N224" s="88" t="s">
        <v>136</v>
      </c>
      <c r="O224" s="34">
        <f>I224*L224</f>
        <v>36.75</v>
      </c>
      <c r="P224" s="270" t="s">
        <v>65</v>
      </c>
      <c r="Q224" s="25"/>
      <c r="R224" s="2"/>
      <c r="S224" s="2"/>
      <c r="T224" s="1"/>
    </row>
    <row r="225" spans="1:20" ht="12.75" hidden="1" x14ac:dyDescent="0.2">
      <c r="A225" s="594"/>
      <c r="B225" s="430"/>
      <c r="C225" s="433"/>
      <c r="D225" s="433"/>
      <c r="E225" s="433"/>
      <c r="F225" s="411"/>
      <c r="G225" s="410"/>
      <c r="H225" s="433"/>
      <c r="I225" s="409"/>
      <c r="J225" s="433"/>
      <c r="K225" s="73" t="s">
        <v>84</v>
      </c>
      <c r="L225" s="88">
        <f>0.03/1000</f>
        <v>3.0000000000000001E-5</v>
      </c>
      <c r="M225" s="226" t="s">
        <v>200</v>
      </c>
      <c r="N225" s="88" t="s">
        <v>36</v>
      </c>
      <c r="O225" s="38">
        <f>I224*L225</f>
        <v>1.1000000000000001E-3</v>
      </c>
      <c r="P225" s="32" t="s">
        <v>65</v>
      </c>
      <c r="Q225" s="25"/>
      <c r="R225" s="2"/>
      <c r="S225" s="2"/>
      <c r="T225" s="1"/>
    </row>
    <row r="226" spans="1:20" ht="25.5" hidden="1" x14ac:dyDescent="0.2">
      <c r="A226" s="594"/>
      <c r="B226" s="430" t="s">
        <v>34</v>
      </c>
      <c r="C226" s="433"/>
      <c r="D226" s="433"/>
      <c r="E226" s="433"/>
      <c r="F226" s="411" t="s">
        <v>63</v>
      </c>
      <c r="G226" s="434"/>
      <c r="H226" s="433"/>
      <c r="I226" s="409">
        <v>35</v>
      </c>
      <c r="J226" s="433"/>
      <c r="K226" s="73" t="s">
        <v>85</v>
      </c>
      <c r="L226" s="88">
        <f>18/1000</f>
        <v>1.7999999999999999E-2</v>
      </c>
      <c r="M226" s="149" t="s">
        <v>195</v>
      </c>
      <c r="N226" s="88" t="s">
        <v>36</v>
      </c>
      <c r="O226" s="36">
        <f>I226*L226</f>
        <v>0.63</v>
      </c>
      <c r="P226" s="32" t="s">
        <v>65</v>
      </c>
      <c r="Q226" s="17"/>
      <c r="R226" s="17"/>
      <c r="S226" s="17"/>
    </row>
    <row r="227" spans="1:20" ht="25.5" hidden="1" x14ac:dyDescent="0.2">
      <c r="A227" s="594"/>
      <c r="B227" s="430"/>
      <c r="C227" s="433"/>
      <c r="D227" s="433"/>
      <c r="E227" s="433"/>
      <c r="F227" s="411"/>
      <c r="G227" s="434"/>
      <c r="H227" s="433"/>
      <c r="I227" s="409"/>
      <c r="J227" s="433"/>
      <c r="K227" s="73" t="s">
        <v>85</v>
      </c>
      <c r="L227" s="88">
        <f>5.2/1000</f>
        <v>5.1999999999999998E-3</v>
      </c>
      <c r="M227" s="149" t="s">
        <v>197</v>
      </c>
      <c r="N227" s="88" t="s">
        <v>36</v>
      </c>
      <c r="O227" s="36">
        <f>I226*L227</f>
        <v>0.182</v>
      </c>
      <c r="P227" s="32" t="s">
        <v>65</v>
      </c>
      <c r="Q227" s="26"/>
      <c r="R227" s="18"/>
      <c r="S227" s="17"/>
    </row>
    <row r="228" spans="1:20" ht="12.75" hidden="1" x14ac:dyDescent="0.2">
      <c r="A228" s="268">
        <v>26</v>
      </c>
      <c r="B228" s="328" t="s">
        <v>261</v>
      </c>
      <c r="C228" s="272"/>
      <c r="D228" s="272"/>
      <c r="E228" s="272"/>
      <c r="F228" s="275"/>
      <c r="G228" s="271"/>
      <c r="H228" s="272"/>
      <c r="I228" s="262"/>
      <c r="J228" s="272"/>
      <c r="K228" s="276"/>
      <c r="L228" s="262"/>
      <c r="M228" s="288"/>
      <c r="N228" s="262"/>
      <c r="O228" s="36"/>
      <c r="P228" s="270"/>
      <c r="Q228" s="26"/>
      <c r="R228" s="18"/>
      <c r="S228" s="17"/>
    </row>
    <row r="229" spans="1:20" ht="25.5" hidden="1" x14ac:dyDescent="0.2">
      <c r="A229" s="16"/>
      <c r="B229" s="504" t="s">
        <v>204</v>
      </c>
      <c r="C229" s="409"/>
      <c r="D229" s="409"/>
      <c r="E229" s="409"/>
      <c r="F229" s="409"/>
      <c r="G229" s="409"/>
      <c r="H229" s="409"/>
      <c r="I229" s="409"/>
      <c r="J229" s="409"/>
      <c r="K229" s="88"/>
      <c r="L229" s="519" t="s">
        <v>128</v>
      </c>
      <c r="M229" s="77" t="s">
        <v>51</v>
      </c>
      <c r="N229" s="74" t="s">
        <v>126</v>
      </c>
      <c r="O229" s="158" t="s">
        <v>205</v>
      </c>
      <c r="P229" s="32" t="s">
        <v>65</v>
      </c>
      <c r="Q229" s="27" t="s">
        <v>143</v>
      </c>
      <c r="R229" s="17"/>
      <c r="S229" s="17"/>
    </row>
    <row r="230" spans="1:20" ht="36.75" hidden="1" customHeight="1" x14ac:dyDescent="0.2">
      <c r="A230" s="268"/>
      <c r="B230" s="505"/>
      <c r="C230" s="409"/>
      <c r="D230" s="409"/>
      <c r="E230" s="409"/>
      <c r="F230" s="409"/>
      <c r="G230" s="409"/>
      <c r="H230" s="409"/>
      <c r="I230" s="409"/>
      <c r="J230" s="409"/>
      <c r="K230" s="112" t="s">
        <v>86</v>
      </c>
      <c r="L230" s="519"/>
      <c r="M230" s="73" t="s">
        <v>64</v>
      </c>
      <c r="N230" s="74" t="s">
        <v>30</v>
      </c>
      <c r="O230" s="151">
        <f>13.52/100*0.008</f>
        <v>1E-3</v>
      </c>
      <c r="P230" s="32" t="s">
        <v>65</v>
      </c>
      <c r="Q230" s="17"/>
      <c r="R230" s="17"/>
      <c r="S230" s="17"/>
    </row>
    <row r="231" spans="1:20" ht="40.5" hidden="1" customHeight="1" x14ac:dyDescent="0.2">
      <c r="A231" s="268"/>
      <c r="B231" s="505"/>
      <c r="C231" s="409"/>
      <c r="D231" s="409"/>
      <c r="E231" s="409"/>
      <c r="F231" s="409"/>
      <c r="G231" s="409"/>
      <c r="H231" s="409"/>
      <c r="I231" s="409"/>
      <c r="J231" s="409"/>
      <c r="K231" s="112" t="s">
        <v>86</v>
      </c>
      <c r="L231" s="519"/>
      <c r="M231" s="73" t="s">
        <v>66</v>
      </c>
      <c r="N231" s="74" t="s">
        <v>36</v>
      </c>
      <c r="O231" s="151">
        <f>13.52/100*0.029</f>
        <v>4.0000000000000001E-3</v>
      </c>
      <c r="P231" s="32" t="s">
        <v>65</v>
      </c>
      <c r="Q231" s="17"/>
      <c r="R231" s="17"/>
      <c r="S231" s="17"/>
    </row>
    <row r="232" spans="1:20" ht="12" hidden="1" customHeight="1" x14ac:dyDescent="0.2">
      <c r="A232" s="264"/>
      <c r="B232" s="506"/>
      <c r="C232" s="409"/>
      <c r="D232" s="409"/>
      <c r="E232" s="409"/>
      <c r="F232" s="409"/>
      <c r="G232" s="409"/>
      <c r="H232" s="409"/>
      <c r="I232" s="409"/>
      <c r="J232" s="409"/>
      <c r="K232" s="112" t="s">
        <v>86</v>
      </c>
      <c r="L232" s="519"/>
      <c r="M232" s="73" t="s">
        <v>67</v>
      </c>
      <c r="N232" s="74" t="s">
        <v>33</v>
      </c>
      <c r="O232" s="152">
        <f>13.52/100*5.5</f>
        <v>0.74399999999999999</v>
      </c>
      <c r="P232" s="32" t="s">
        <v>65</v>
      </c>
      <c r="Q232" s="17"/>
      <c r="R232" s="17"/>
      <c r="S232" s="17"/>
    </row>
    <row r="233" spans="1:20" ht="21" hidden="1" customHeight="1" x14ac:dyDescent="0.2">
      <c r="A233" s="577" t="s">
        <v>229</v>
      </c>
      <c r="B233" s="293" t="s">
        <v>262</v>
      </c>
      <c r="C233" s="89" t="s">
        <v>39</v>
      </c>
      <c r="D233" s="88">
        <v>133</v>
      </c>
      <c r="E233" s="88">
        <v>20</v>
      </c>
      <c r="F233" s="88"/>
      <c r="G233" s="88"/>
      <c r="H233" s="88">
        <v>120</v>
      </c>
      <c r="I233" s="88"/>
      <c r="J233" s="88"/>
      <c r="K233" s="88"/>
      <c r="L233" s="88"/>
      <c r="M233" s="576"/>
      <c r="N233" s="576"/>
      <c r="O233" s="88"/>
      <c r="P233" s="86"/>
      <c r="Q233" s="17"/>
      <c r="R233" s="17"/>
      <c r="S233" s="17"/>
    </row>
    <row r="234" spans="1:20" ht="25.5" hidden="1" x14ac:dyDescent="0.2">
      <c r="A234" s="577"/>
      <c r="B234" s="327" t="s">
        <v>87</v>
      </c>
      <c r="C234" s="89"/>
      <c r="D234" s="411" t="s">
        <v>52</v>
      </c>
      <c r="E234" s="411"/>
      <c r="F234" s="233" t="s">
        <v>50</v>
      </c>
      <c r="G234" s="94"/>
      <c r="H234" s="88"/>
      <c r="I234" s="88"/>
      <c r="J234" s="90">
        <f>J235</f>
        <v>1.9</v>
      </c>
      <c r="K234" s="88"/>
      <c r="L234" s="88"/>
      <c r="M234" s="77"/>
      <c r="N234" s="77"/>
      <c r="O234" s="88"/>
      <c r="P234" s="86"/>
      <c r="Q234" s="17"/>
      <c r="R234" s="17"/>
      <c r="S234" s="17"/>
    </row>
    <row r="235" spans="1:20" ht="38.25" hidden="1" x14ac:dyDescent="0.2">
      <c r="A235" s="577"/>
      <c r="B235" s="430" t="s">
        <v>80</v>
      </c>
      <c r="C235" s="433"/>
      <c r="D235" s="411" t="s">
        <v>52</v>
      </c>
      <c r="E235" s="411"/>
      <c r="F235" s="411" t="s">
        <v>50</v>
      </c>
      <c r="G235" s="411" t="s">
        <v>29</v>
      </c>
      <c r="H235" s="409"/>
      <c r="I235" s="409"/>
      <c r="J235" s="563">
        <f>((D233/1000)+(H233/1000))*(H233/1000)*3.14*E233</f>
        <v>1.9</v>
      </c>
      <c r="K235" s="73" t="s">
        <v>106</v>
      </c>
      <c r="L235" s="34">
        <v>1.24</v>
      </c>
      <c r="M235" s="227" t="s">
        <v>201</v>
      </c>
      <c r="N235" s="88" t="s">
        <v>135</v>
      </c>
      <c r="O235" s="36">
        <f>J235*L235</f>
        <v>2.3559999999999999</v>
      </c>
      <c r="P235" s="296" t="s">
        <v>65</v>
      </c>
      <c r="Q235" s="17"/>
      <c r="R235" s="17"/>
      <c r="S235" s="17"/>
    </row>
    <row r="236" spans="1:20" ht="19.5" hidden="1" customHeight="1" x14ac:dyDescent="0.2">
      <c r="A236" s="577"/>
      <c r="B236" s="430"/>
      <c r="C236" s="433"/>
      <c r="D236" s="411"/>
      <c r="E236" s="411"/>
      <c r="F236" s="411"/>
      <c r="G236" s="411"/>
      <c r="H236" s="409"/>
      <c r="I236" s="409"/>
      <c r="J236" s="563"/>
      <c r="K236" s="32" t="s">
        <v>107</v>
      </c>
      <c r="L236" s="88">
        <f>2.9/1000</f>
        <v>2.8999999999999998E-3</v>
      </c>
      <c r="M236" s="226" t="s">
        <v>200</v>
      </c>
      <c r="N236" s="88" t="s">
        <v>36</v>
      </c>
      <c r="O236" s="38">
        <f>J235*L236</f>
        <v>5.4999999999999997E-3</v>
      </c>
      <c r="P236" s="296" t="s">
        <v>65</v>
      </c>
      <c r="Q236" s="17"/>
      <c r="R236" s="17"/>
      <c r="S236" s="17"/>
    </row>
    <row r="237" spans="1:20" ht="25.5" hidden="1" x14ac:dyDescent="0.2">
      <c r="A237" s="577"/>
      <c r="B237" s="430" t="s">
        <v>32</v>
      </c>
      <c r="C237" s="424"/>
      <c r="D237" s="424"/>
      <c r="E237" s="424"/>
      <c r="F237" s="462" t="s">
        <v>29</v>
      </c>
      <c r="G237" s="453" t="s">
        <v>63</v>
      </c>
      <c r="H237" s="424"/>
      <c r="I237" s="442">
        <f>3.14*E233*(D233/1000+2*H233/1000)</f>
        <v>23</v>
      </c>
      <c r="J237" s="424"/>
      <c r="K237" s="32" t="s">
        <v>83</v>
      </c>
      <c r="L237" s="88">
        <v>1.05</v>
      </c>
      <c r="M237" s="149" t="s">
        <v>221</v>
      </c>
      <c r="N237" s="88" t="s">
        <v>136</v>
      </c>
      <c r="O237" s="34">
        <f>I237*L237</f>
        <v>24.15</v>
      </c>
      <c r="P237" s="296" t="s">
        <v>65</v>
      </c>
      <c r="Q237" s="17"/>
      <c r="R237" s="17"/>
      <c r="S237" s="17"/>
    </row>
    <row r="238" spans="1:20" ht="21.75" hidden="1" customHeight="1" x14ac:dyDescent="0.2">
      <c r="A238" s="577"/>
      <c r="B238" s="430"/>
      <c r="C238" s="425"/>
      <c r="D238" s="425"/>
      <c r="E238" s="425"/>
      <c r="F238" s="463"/>
      <c r="G238" s="455"/>
      <c r="H238" s="425"/>
      <c r="I238" s="443"/>
      <c r="J238" s="425"/>
      <c r="K238" s="32" t="s">
        <v>84</v>
      </c>
      <c r="L238" s="88">
        <f>0.03/1000</f>
        <v>3.0000000000000001E-5</v>
      </c>
      <c r="M238" s="226" t="s">
        <v>200</v>
      </c>
      <c r="N238" s="88" t="s">
        <v>36</v>
      </c>
      <c r="O238" s="38">
        <f>I237*L238</f>
        <v>6.9999999999999999E-4</v>
      </c>
      <c r="P238" s="296" t="s">
        <v>65</v>
      </c>
      <c r="Q238" s="17"/>
      <c r="R238" s="17"/>
      <c r="S238" s="17"/>
    </row>
    <row r="239" spans="1:20" ht="25.5" hidden="1" x14ac:dyDescent="0.2">
      <c r="A239" s="577"/>
      <c r="B239" s="430" t="s">
        <v>34</v>
      </c>
      <c r="C239" s="424"/>
      <c r="D239" s="424"/>
      <c r="E239" s="424"/>
      <c r="F239" s="462" t="s">
        <v>63</v>
      </c>
      <c r="G239" s="424"/>
      <c r="H239" s="424"/>
      <c r="I239" s="442">
        <f>I237</f>
        <v>23</v>
      </c>
      <c r="J239" s="424"/>
      <c r="K239" s="32" t="s">
        <v>85</v>
      </c>
      <c r="L239" s="88">
        <f>18/1000</f>
        <v>1.7999999999999999E-2</v>
      </c>
      <c r="M239" s="149" t="s">
        <v>195</v>
      </c>
      <c r="N239" s="88" t="s">
        <v>36</v>
      </c>
      <c r="O239" s="36">
        <f>I239*L239</f>
        <v>0.41399999999999998</v>
      </c>
      <c r="P239" s="296" t="s">
        <v>65</v>
      </c>
      <c r="Q239" s="17"/>
      <c r="R239" s="17"/>
      <c r="S239" s="17"/>
    </row>
    <row r="240" spans="1:20" ht="25.5" hidden="1" x14ac:dyDescent="0.2">
      <c r="A240" s="577"/>
      <c r="B240" s="483"/>
      <c r="C240" s="425"/>
      <c r="D240" s="425"/>
      <c r="E240" s="425"/>
      <c r="F240" s="463"/>
      <c r="G240" s="425"/>
      <c r="H240" s="425"/>
      <c r="I240" s="443"/>
      <c r="J240" s="425"/>
      <c r="K240" s="32" t="s">
        <v>85</v>
      </c>
      <c r="L240" s="88">
        <f>5.2/1000</f>
        <v>5.1999999999999998E-3</v>
      </c>
      <c r="M240" s="149" t="s">
        <v>197</v>
      </c>
      <c r="N240" s="88" t="s">
        <v>36</v>
      </c>
      <c r="O240" s="36">
        <f>I239*L240</f>
        <v>0.12</v>
      </c>
      <c r="P240" s="296" t="s">
        <v>65</v>
      </c>
      <c r="Q240" s="17"/>
      <c r="R240" s="17"/>
      <c r="S240" s="17"/>
    </row>
    <row r="241" spans="1:20" ht="17.25" hidden="1" customHeight="1" x14ac:dyDescent="0.2">
      <c r="A241" s="525">
        <v>28</v>
      </c>
      <c r="B241" s="334" t="s">
        <v>263</v>
      </c>
      <c r="C241" s="89" t="s">
        <v>39</v>
      </c>
      <c r="D241" s="88"/>
      <c r="E241" s="88"/>
      <c r="F241" s="88"/>
      <c r="G241" s="88"/>
      <c r="H241" s="88">
        <v>200</v>
      </c>
      <c r="I241" s="88"/>
      <c r="J241" s="88"/>
      <c r="K241" s="88"/>
      <c r="L241" s="88"/>
      <c r="M241" s="77"/>
      <c r="N241" s="88"/>
      <c r="O241" s="34"/>
      <c r="P241" s="32"/>
      <c r="Q241" s="28"/>
      <c r="R241" s="17"/>
      <c r="S241" s="17"/>
    </row>
    <row r="242" spans="1:20" ht="25.5" hidden="1" x14ac:dyDescent="0.2">
      <c r="A242" s="525"/>
      <c r="B242" s="327" t="s">
        <v>87</v>
      </c>
      <c r="C242" s="89"/>
      <c r="D242" s="439" t="s">
        <v>28</v>
      </c>
      <c r="E242" s="439"/>
      <c r="F242" s="234" t="s">
        <v>50</v>
      </c>
      <c r="G242" s="88"/>
      <c r="H242" s="88"/>
      <c r="I242" s="88"/>
      <c r="J242" s="90">
        <f>J243</f>
        <v>8</v>
      </c>
      <c r="K242" s="88"/>
      <c r="L242" s="88"/>
      <c r="M242" s="77"/>
      <c r="N242" s="88"/>
      <c r="O242" s="34"/>
      <c r="P242" s="32"/>
      <c r="Q242" s="28"/>
      <c r="R242" s="17"/>
      <c r="S242" s="17"/>
    </row>
    <row r="243" spans="1:20" ht="46.5" hidden="1" customHeight="1" x14ac:dyDescent="0.2">
      <c r="A243" s="525"/>
      <c r="B243" s="430" t="s">
        <v>88</v>
      </c>
      <c r="C243" s="433"/>
      <c r="D243" s="439" t="s">
        <v>28</v>
      </c>
      <c r="E243" s="439"/>
      <c r="F243" s="439" t="s">
        <v>50</v>
      </c>
      <c r="G243" s="409" t="s">
        <v>29</v>
      </c>
      <c r="H243" s="433"/>
      <c r="I243" s="433"/>
      <c r="J243" s="563">
        <f>I245*(H241/1000)</f>
        <v>8</v>
      </c>
      <c r="K243" s="73" t="s">
        <v>81</v>
      </c>
      <c r="L243" s="34">
        <v>1.24</v>
      </c>
      <c r="M243" s="227" t="s">
        <v>201</v>
      </c>
      <c r="N243" s="88" t="s">
        <v>135</v>
      </c>
      <c r="O243" s="36">
        <f>J243*L243</f>
        <v>9.92</v>
      </c>
      <c r="P243" s="32" t="s">
        <v>65</v>
      </c>
      <c r="Q243" s="28"/>
      <c r="R243" s="17"/>
      <c r="S243" s="17"/>
    </row>
    <row r="244" spans="1:20" ht="15.75" hidden="1" customHeight="1" x14ac:dyDescent="0.2">
      <c r="A244" s="525"/>
      <c r="B244" s="430"/>
      <c r="C244" s="433"/>
      <c r="D244" s="439"/>
      <c r="E244" s="439"/>
      <c r="F244" s="439"/>
      <c r="G244" s="409"/>
      <c r="H244" s="433"/>
      <c r="I244" s="433"/>
      <c r="J244" s="563"/>
      <c r="K244" s="73" t="s">
        <v>82</v>
      </c>
      <c r="L244" s="88">
        <f>2.5/1000</f>
        <v>2.5000000000000001E-3</v>
      </c>
      <c r="M244" s="226" t="s">
        <v>200</v>
      </c>
      <c r="N244" s="88" t="s">
        <v>36</v>
      </c>
      <c r="O244" s="38">
        <f>J243*L244</f>
        <v>0.02</v>
      </c>
      <c r="P244" s="32" t="s">
        <v>65</v>
      </c>
      <c r="Q244" s="28"/>
      <c r="R244" s="17"/>
      <c r="S244" s="17"/>
    </row>
    <row r="245" spans="1:20" ht="25.5" hidden="1" x14ac:dyDescent="0.2">
      <c r="A245" s="525"/>
      <c r="B245" s="430" t="s">
        <v>32</v>
      </c>
      <c r="C245" s="433"/>
      <c r="D245" s="433"/>
      <c r="E245" s="433"/>
      <c r="F245" s="439" t="s">
        <v>29</v>
      </c>
      <c r="G245" s="409" t="s">
        <v>63</v>
      </c>
      <c r="H245" s="433"/>
      <c r="I245" s="409">
        <v>40</v>
      </c>
      <c r="J245" s="433"/>
      <c r="K245" s="73" t="s">
        <v>83</v>
      </c>
      <c r="L245" s="88">
        <v>1.05</v>
      </c>
      <c r="M245" s="149" t="s">
        <v>221</v>
      </c>
      <c r="N245" s="88" t="s">
        <v>136</v>
      </c>
      <c r="O245" s="34">
        <f>I245*L245</f>
        <v>42</v>
      </c>
      <c r="P245" s="32" t="s">
        <v>65</v>
      </c>
      <c r="Q245" s="28"/>
      <c r="R245" s="17"/>
      <c r="S245" s="17"/>
    </row>
    <row r="246" spans="1:20" ht="17.25" hidden="1" customHeight="1" x14ac:dyDescent="0.2">
      <c r="A246" s="525"/>
      <c r="B246" s="430"/>
      <c r="C246" s="433"/>
      <c r="D246" s="433"/>
      <c r="E246" s="433"/>
      <c r="F246" s="439"/>
      <c r="G246" s="409"/>
      <c r="H246" s="433"/>
      <c r="I246" s="409"/>
      <c r="J246" s="433"/>
      <c r="K246" s="73" t="s">
        <v>84</v>
      </c>
      <c r="L246" s="88">
        <f>0.03/1000</f>
        <v>3.0000000000000001E-5</v>
      </c>
      <c r="M246" s="226" t="s">
        <v>200</v>
      </c>
      <c r="N246" s="88" t="s">
        <v>36</v>
      </c>
      <c r="O246" s="38">
        <f>I245*L246</f>
        <v>1.1999999999999999E-3</v>
      </c>
      <c r="P246" s="32" t="s">
        <v>65</v>
      </c>
      <c r="Q246" s="29"/>
      <c r="R246" s="18"/>
      <c r="S246" s="17"/>
    </row>
    <row r="247" spans="1:20" ht="25.5" hidden="1" x14ac:dyDescent="0.2">
      <c r="A247" s="525"/>
      <c r="B247" s="430" t="s">
        <v>34</v>
      </c>
      <c r="C247" s="433"/>
      <c r="D247" s="433"/>
      <c r="E247" s="433"/>
      <c r="F247" s="439" t="s">
        <v>63</v>
      </c>
      <c r="G247" s="433"/>
      <c r="H247" s="433"/>
      <c r="I247" s="409">
        <f>I245</f>
        <v>40</v>
      </c>
      <c r="J247" s="433"/>
      <c r="K247" s="73" t="s">
        <v>85</v>
      </c>
      <c r="L247" s="88">
        <f>18/1000</f>
        <v>1.7999999999999999E-2</v>
      </c>
      <c r="M247" s="149" t="s">
        <v>195</v>
      </c>
      <c r="N247" s="88" t="s">
        <v>36</v>
      </c>
      <c r="O247" s="151">
        <f>I247*L247</f>
        <v>0.72</v>
      </c>
      <c r="P247" s="32" t="s">
        <v>65</v>
      </c>
      <c r="Q247" s="28"/>
      <c r="R247" s="17"/>
      <c r="S247" s="17"/>
      <c r="T247" s="17"/>
    </row>
    <row r="248" spans="1:20" ht="25.5" hidden="1" x14ac:dyDescent="0.2">
      <c r="A248" s="525"/>
      <c r="B248" s="430"/>
      <c r="C248" s="433"/>
      <c r="D248" s="433"/>
      <c r="E248" s="433"/>
      <c r="F248" s="439"/>
      <c r="G248" s="433"/>
      <c r="H248" s="433"/>
      <c r="I248" s="409"/>
      <c r="J248" s="433"/>
      <c r="K248" s="73" t="s">
        <v>85</v>
      </c>
      <c r="L248" s="88">
        <f>5.2/1000</f>
        <v>5.1999999999999998E-3</v>
      </c>
      <c r="M248" s="149" t="s">
        <v>197</v>
      </c>
      <c r="N248" s="88" t="s">
        <v>36</v>
      </c>
      <c r="O248" s="36">
        <f>I247*L248</f>
        <v>0.20799999999999999</v>
      </c>
      <c r="P248" s="32" t="s">
        <v>65</v>
      </c>
      <c r="Q248" s="30"/>
      <c r="R248" s="18"/>
      <c r="S248" s="17"/>
      <c r="T248" s="18"/>
    </row>
    <row r="249" spans="1:20" ht="12.75" hidden="1" x14ac:dyDescent="0.2">
      <c r="A249" s="471">
        <v>29</v>
      </c>
      <c r="B249" s="116" t="s">
        <v>230</v>
      </c>
      <c r="C249" s="89"/>
      <c r="D249" s="88"/>
      <c r="E249" s="88"/>
      <c r="F249" s="88"/>
      <c r="G249" s="88"/>
      <c r="H249" s="88">
        <v>200</v>
      </c>
      <c r="I249" s="34"/>
      <c r="J249" s="88"/>
      <c r="K249" s="86"/>
      <c r="L249" s="86"/>
      <c r="M249" s="543"/>
      <c r="N249" s="544"/>
      <c r="O249" s="88"/>
      <c r="P249" s="86"/>
      <c r="Q249" s="41"/>
      <c r="R249" s="18"/>
      <c r="S249" s="17"/>
      <c r="T249" s="18"/>
    </row>
    <row r="250" spans="1:20" ht="12.75" hidden="1" x14ac:dyDescent="0.2">
      <c r="A250" s="472"/>
      <c r="B250" s="327" t="s">
        <v>145</v>
      </c>
      <c r="C250" s="89"/>
      <c r="D250" s="88"/>
      <c r="E250" s="88"/>
      <c r="F250" s="234" t="s">
        <v>37</v>
      </c>
      <c r="G250" s="88"/>
      <c r="H250" s="88"/>
      <c r="I250" s="34"/>
      <c r="J250" s="88">
        <f>1.7</f>
        <v>1.7</v>
      </c>
      <c r="K250" s="126"/>
      <c r="L250" s="126"/>
      <c r="M250" s="574"/>
      <c r="N250" s="575"/>
      <c r="O250" s="88"/>
      <c r="P250" s="86"/>
      <c r="Q250" s="41"/>
      <c r="R250" s="18"/>
      <c r="S250" s="17"/>
      <c r="T250" s="18"/>
    </row>
    <row r="251" spans="1:20" ht="24" hidden="1" customHeight="1" x14ac:dyDescent="0.2">
      <c r="A251" s="472"/>
      <c r="B251" s="504" t="s">
        <v>146</v>
      </c>
      <c r="C251" s="424"/>
      <c r="D251" s="424"/>
      <c r="E251" s="424"/>
      <c r="F251" s="404" t="s">
        <v>37</v>
      </c>
      <c r="G251" s="424"/>
      <c r="H251" s="424"/>
      <c r="I251" s="424"/>
      <c r="J251" s="440">
        <v>1.7</v>
      </c>
      <c r="K251" s="297" t="s">
        <v>101</v>
      </c>
      <c r="L251" s="251">
        <v>0.78300000000000003</v>
      </c>
      <c r="M251" s="93" t="s">
        <v>147</v>
      </c>
      <c r="N251" s="37"/>
      <c r="O251" s="126"/>
      <c r="P251" s="177"/>
      <c r="Q251" s="306"/>
      <c r="R251" s="18"/>
      <c r="S251" s="17"/>
      <c r="T251" s="18"/>
    </row>
    <row r="252" spans="1:20" ht="12.75" hidden="1" x14ac:dyDescent="0.2">
      <c r="A252" s="472"/>
      <c r="B252" s="505"/>
      <c r="C252" s="456"/>
      <c r="D252" s="456"/>
      <c r="E252" s="456"/>
      <c r="F252" s="405"/>
      <c r="G252" s="456"/>
      <c r="H252" s="456"/>
      <c r="I252" s="456"/>
      <c r="J252" s="522"/>
      <c r="K252" s="297" t="s">
        <v>102</v>
      </c>
      <c r="L252" s="251">
        <v>1.02</v>
      </c>
      <c r="M252" s="93" t="s">
        <v>53</v>
      </c>
      <c r="N252" s="178"/>
      <c r="O252" s="88"/>
      <c r="P252" s="86"/>
      <c r="Q252" s="41"/>
      <c r="R252" s="18"/>
      <c r="S252" s="17"/>
      <c r="T252" s="18"/>
    </row>
    <row r="253" spans="1:20" ht="25.5" hidden="1" x14ac:dyDescent="0.2">
      <c r="A253" s="472"/>
      <c r="B253" s="505"/>
      <c r="C253" s="456"/>
      <c r="D253" s="456"/>
      <c r="E253" s="456"/>
      <c r="F253" s="405"/>
      <c r="G253" s="456"/>
      <c r="H253" s="456"/>
      <c r="I253" s="456"/>
      <c r="J253" s="522"/>
      <c r="K253" s="297" t="s">
        <v>103</v>
      </c>
      <c r="L253" s="251">
        <v>0.78300000000000003</v>
      </c>
      <c r="M253" s="43" t="s">
        <v>194</v>
      </c>
      <c r="N253" s="88" t="s">
        <v>36</v>
      </c>
      <c r="O253" s="36">
        <f>J251*L251*L252</f>
        <v>1.3580000000000001</v>
      </c>
      <c r="P253" s="35" t="s">
        <v>71</v>
      </c>
      <c r="R253" s="18"/>
      <c r="S253" s="17"/>
      <c r="T253" s="18"/>
    </row>
    <row r="254" spans="1:20" ht="12.75" hidden="1" x14ac:dyDescent="0.2">
      <c r="A254" s="472"/>
      <c r="B254" s="505"/>
      <c r="C254" s="456"/>
      <c r="D254" s="456"/>
      <c r="E254" s="456"/>
      <c r="F254" s="405"/>
      <c r="G254" s="456"/>
      <c r="H254" s="456"/>
      <c r="I254" s="456"/>
      <c r="J254" s="522"/>
      <c r="K254" s="297" t="s">
        <v>102</v>
      </c>
      <c r="L254" s="251">
        <v>1.02</v>
      </c>
      <c r="M254" s="93" t="s">
        <v>54</v>
      </c>
      <c r="N254" s="88"/>
      <c r="O254" s="38"/>
      <c r="P254" s="35"/>
      <c r="R254" s="18"/>
      <c r="S254" s="17"/>
      <c r="T254" s="18"/>
    </row>
    <row r="255" spans="1:20" ht="12.75" hidden="1" x14ac:dyDescent="0.2">
      <c r="A255" s="472"/>
      <c r="B255" s="505"/>
      <c r="C255" s="456"/>
      <c r="D255" s="456"/>
      <c r="E255" s="456"/>
      <c r="F255" s="405"/>
      <c r="G255" s="456"/>
      <c r="H255" s="456"/>
      <c r="I255" s="456"/>
      <c r="J255" s="522"/>
      <c r="K255" s="297" t="s">
        <v>104</v>
      </c>
      <c r="L255" s="251">
        <v>0.308</v>
      </c>
      <c r="M255" s="93" t="s">
        <v>55</v>
      </c>
      <c r="N255" s="88" t="s">
        <v>36</v>
      </c>
      <c r="O255" s="36">
        <f>J251*L253*L254</f>
        <v>1.3580000000000001</v>
      </c>
      <c r="P255" s="35" t="s">
        <v>71</v>
      </c>
      <c r="R255" s="18"/>
      <c r="S255" s="17"/>
      <c r="T255" s="18"/>
    </row>
    <row r="256" spans="1:20" ht="30.75" hidden="1" customHeight="1" x14ac:dyDescent="0.2">
      <c r="A256" s="473"/>
      <c r="B256" s="506"/>
      <c r="C256" s="425"/>
      <c r="D256" s="425"/>
      <c r="E256" s="425"/>
      <c r="F256" s="406"/>
      <c r="G256" s="425"/>
      <c r="H256" s="425"/>
      <c r="I256" s="425"/>
      <c r="J256" s="441"/>
      <c r="K256" s="54" t="s">
        <v>102</v>
      </c>
      <c r="L256" s="86">
        <v>1.02</v>
      </c>
      <c r="M256" s="93" t="s">
        <v>148</v>
      </c>
      <c r="N256" s="88" t="s">
        <v>36</v>
      </c>
      <c r="O256" s="36">
        <f>J251*L255*L256</f>
        <v>0.53400000000000003</v>
      </c>
      <c r="P256" s="35" t="s">
        <v>71</v>
      </c>
      <c r="R256" s="18"/>
      <c r="S256" s="17"/>
      <c r="T256" s="18"/>
    </row>
    <row r="257" spans="1:21" s="14" customFormat="1" ht="25.5" hidden="1" x14ac:dyDescent="0.2">
      <c r="A257" s="593">
        <v>30</v>
      </c>
      <c r="B257" s="293" t="s">
        <v>264</v>
      </c>
      <c r="C257" s="89" t="s">
        <v>45</v>
      </c>
      <c r="D257" s="88"/>
      <c r="E257" s="88"/>
      <c r="F257" s="88"/>
      <c r="G257" s="88"/>
      <c r="H257" s="295">
        <v>120</v>
      </c>
      <c r="I257" s="88"/>
      <c r="J257" s="88"/>
      <c r="K257" s="88"/>
      <c r="L257" s="88"/>
      <c r="M257" s="77"/>
      <c r="N257" s="88"/>
      <c r="O257" s="34"/>
      <c r="P257" s="32"/>
      <c r="Q257" s="24"/>
      <c r="R257" s="20"/>
      <c r="S257" s="20"/>
      <c r="T257" s="21"/>
      <c r="U257" s="20"/>
    </row>
    <row r="258" spans="1:21" s="14" customFormat="1" ht="25.5" hidden="1" x14ac:dyDescent="0.2">
      <c r="A258" s="594"/>
      <c r="B258" s="323" t="s">
        <v>38</v>
      </c>
      <c r="C258" s="190"/>
      <c r="D258" s="190"/>
      <c r="E258" s="190"/>
      <c r="F258" s="190"/>
      <c r="G258" s="190"/>
      <c r="H258" s="190"/>
      <c r="I258" s="190">
        <v>20</v>
      </c>
      <c r="J258" s="88"/>
      <c r="K258" s="88"/>
      <c r="L258" s="88"/>
      <c r="M258" s="77"/>
      <c r="N258" s="88"/>
      <c r="O258" s="34"/>
      <c r="P258" s="32"/>
      <c r="Q258" s="24"/>
      <c r="R258" s="20"/>
      <c r="S258" s="20"/>
      <c r="T258" s="21"/>
      <c r="U258" s="20"/>
    </row>
    <row r="259" spans="1:21" s="14" customFormat="1" ht="25.5" hidden="1" x14ac:dyDescent="0.2">
      <c r="A259" s="594"/>
      <c r="B259" s="327" t="s">
        <v>87</v>
      </c>
      <c r="C259" s="88"/>
      <c r="D259" s="439" t="s">
        <v>28</v>
      </c>
      <c r="E259" s="439"/>
      <c r="F259" s="88"/>
      <c r="G259" s="88"/>
      <c r="H259" s="88"/>
      <c r="I259" s="88"/>
      <c r="J259" s="88">
        <f>J260</f>
        <v>2.4</v>
      </c>
      <c r="K259" s="88"/>
      <c r="L259" s="88"/>
      <c r="M259" s="77"/>
      <c r="N259" s="88"/>
      <c r="O259" s="34"/>
      <c r="P259" s="32"/>
      <c r="Q259" s="24"/>
      <c r="R259" s="20"/>
      <c r="S259" s="20"/>
      <c r="T259" s="21"/>
      <c r="U259" s="20"/>
    </row>
    <row r="260" spans="1:21" s="14" customFormat="1" ht="43.5" hidden="1" customHeight="1" x14ac:dyDescent="0.2">
      <c r="A260" s="594"/>
      <c r="B260" s="430" t="s">
        <v>88</v>
      </c>
      <c r="C260" s="433"/>
      <c r="D260" s="439" t="s">
        <v>28</v>
      </c>
      <c r="E260" s="439"/>
      <c r="F260" s="474" t="s">
        <v>50</v>
      </c>
      <c r="G260" s="417" t="s">
        <v>213</v>
      </c>
      <c r="H260" s="433"/>
      <c r="I260" s="433"/>
      <c r="J260" s="409">
        <f>I258*(H257/1000)</f>
        <v>2.4</v>
      </c>
      <c r="K260" s="73" t="s">
        <v>81</v>
      </c>
      <c r="L260" s="34">
        <v>1.24</v>
      </c>
      <c r="M260" s="227" t="s">
        <v>212</v>
      </c>
      <c r="N260" s="88" t="s">
        <v>135</v>
      </c>
      <c r="O260" s="36">
        <f>J260*L260</f>
        <v>2.976</v>
      </c>
      <c r="P260" s="32" t="s">
        <v>65</v>
      </c>
      <c r="Q260" s="24"/>
      <c r="R260" s="20"/>
      <c r="S260" s="20"/>
      <c r="T260" s="21"/>
      <c r="U260" s="20"/>
    </row>
    <row r="261" spans="1:21" s="14" customFormat="1" ht="12.75" hidden="1" x14ac:dyDescent="0.2">
      <c r="A261" s="594"/>
      <c r="B261" s="430"/>
      <c r="C261" s="433"/>
      <c r="D261" s="439"/>
      <c r="E261" s="439"/>
      <c r="F261" s="474"/>
      <c r="G261" s="418"/>
      <c r="H261" s="433"/>
      <c r="I261" s="433"/>
      <c r="J261" s="409"/>
      <c r="K261" s="73" t="s">
        <v>82</v>
      </c>
      <c r="L261" s="88">
        <f>2.5/1000</f>
        <v>2.5000000000000001E-3</v>
      </c>
      <c r="M261" s="226" t="s">
        <v>200</v>
      </c>
      <c r="N261" s="88" t="s">
        <v>36</v>
      </c>
      <c r="O261" s="38">
        <f>J260*L261</f>
        <v>6.0000000000000001E-3</v>
      </c>
      <c r="P261" s="32" t="s">
        <v>65</v>
      </c>
      <c r="Q261" s="24"/>
      <c r="R261" s="20"/>
      <c r="S261" s="20"/>
      <c r="T261" s="21"/>
      <c r="U261" s="20"/>
    </row>
    <row r="262" spans="1:21" s="14" customFormat="1" ht="28.5" hidden="1" customHeight="1" x14ac:dyDescent="0.2">
      <c r="A262" s="594"/>
      <c r="B262" s="430" t="s">
        <v>42</v>
      </c>
      <c r="C262" s="433"/>
      <c r="D262" s="433"/>
      <c r="E262" s="433"/>
      <c r="F262" s="417" t="s">
        <v>213</v>
      </c>
      <c r="G262" s="517"/>
      <c r="H262" s="433"/>
      <c r="I262" s="409">
        <f>I258</f>
        <v>20</v>
      </c>
      <c r="J262" s="433"/>
      <c r="K262" s="32" t="s">
        <v>89</v>
      </c>
      <c r="L262" s="38">
        <f>4.6/1000</f>
        <v>4.5999999999999999E-3</v>
      </c>
      <c r="M262" s="225" t="s">
        <v>199</v>
      </c>
      <c r="N262" s="88" t="s">
        <v>36</v>
      </c>
      <c r="O262" s="36">
        <f>I262*L262</f>
        <v>9.1999999999999998E-2</v>
      </c>
      <c r="P262" s="32" t="s">
        <v>65</v>
      </c>
      <c r="Q262" s="24"/>
      <c r="R262" s="20"/>
      <c r="S262" s="20"/>
      <c r="T262" s="21"/>
      <c r="U262" s="20"/>
    </row>
    <row r="263" spans="1:21" s="14" customFormat="1" ht="19.5" hidden="1" customHeight="1" x14ac:dyDescent="0.2">
      <c r="A263" s="594"/>
      <c r="B263" s="430"/>
      <c r="C263" s="433"/>
      <c r="D263" s="433"/>
      <c r="E263" s="433"/>
      <c r="F263" s="418"/>
      <c r="G263" s="517"/>
      <c r="H263" s="433"/>
      <c r="I263" s="409"/>
      <c r="J263" s="433"/>
      <c r="K263" s="32" t="s">
        <v>90</v>
      </c>
      <c r="L263" s="88">
        <f>0.015/1000</f>
        <v>1.5E-5</v>
      </c>
      <c r="M263" s="225" t="s">
        <v>198</v>
      </c>
      <c r="N263" s="88" t="s">
        <v>36</v>
      </c>
      <c r="O263" s="38">
        <f>I262*L263</f>
        <v>2.9999999999999997E-4</v>
      </c>
      <c r="P263" s="32" t="s">
        <v>65</v>
      </c>
      <c r="Q263" s="24"/>
      <c r="R263" s="20"/>
      <c r="S263" s="20"/>
      <c r="T263" s="21"/>
      <c r="U263" s="20"/>
    </row>
    <row r="264" spans="1:21" s="14" customFormat="1" ht="19.5" hidden="1" customHeight="1" x14ac:dyDescent="0.2">
      <c r="A264" s="263">
        <v>31</v>
      </c>
      <c r="B264" s="308" t="s">
        <v>231</v>
      </c>
      <c r="C264" s="272"/>
      <c r="D264" s="272"/>
      <c r="E264" s="272"/>
      <c r="F264" s="266"/>
      <c r="G264" s="289"/>
      <c r="H264" s="272"/>
      <c r="I264" s="262"/>
      <c r="J264" s="272"/>
      <c r="K264" s="270"/>
      <c r="L264" s="262"/>
      <c r="M264" s="225"/>
      <c r="N264" s="262"/>
      <c r="O264" s="38"/>
      <c r="P264" s="270"/>
      <c r="Q264" s="24"/>
      <c r="R264" s="20"/>
      <c r="S264" s="20"/>
      <c r="T264" s="21"/>
      <c r="U264" s="20"/>
    </row>
    <row r="265" spans="1:21" s="14" customFormat="1" ht="31.5" hidden="1" customHeight="1" x14ac:dyDescent="0.2">
      <c r="A265" s="268"/>
      <c r="B265" s="504" t="s">
        <v>206</v>
      </c>
      <c r="C265" s="409"/>
      <c r="D265" s="409"/>
      <c r="E265" s="409"/>
      <c r="F265" s="409"/>
      <c r="G265" s="409"/>
      <c r="H265" s="409"/>
      <c r="I265" s="409"/>
      <c r="J265" s="409"/>
      <c r="K265" s="88"/>
      <c r="L265" s="519" t="s">
        <v>128</v>
      </c>
      <c r="M265" s="77" t="s">
        <v>51</v>
      </c>
      <c r="N265" s="74" t="s">
        <v>36</v>
      </c>
      <c r="O265" s="158" t="s">
        <v>207</v>
      </c>
      <c r="P265" s="32" t="s">
        <v>65</v>
      </c>
      <c r="Q265" s="27" t="s">
        <v>144</v>
      </c>
      <c r="R265" s="20"/>
      <c r="S265" s="20"/>
      <c r="T265" s="21"/>
      <c r="U265" s="20"/>
    </row>
    <row r="266" spans="1:21" s="14" customFormat="1" ht="43.5" hidden="1" customHeight="1" x14ac:dyDescent="0.2">
      <c r="A266" s="268"/>
      <c r="B266" s="505"/>
      <c r="C266" s="409"/>
      <c r="D266" s="409"/>
      <c r="E266" s="409"/>
      <c r="F266" s="409"/>
      <c r="G266" s="409"/>
      <c r="H266" s="409"/>
      <c r="I266" s="409"/>
      <c r="J266" s="409"/>
      <c r="K266" s="112" t="s">
        <v>86</v>
      </c>
      <c r="L266" s="519"/>
      <c r="M266" s="73" t="s">
        <v>64</v>
      </c>
      <c r="N266" s="74" t="s">
        <v>30</v>
      </c>
      <c r="O266" s="151">
        <f>27.04/100*0.008</f>
        <v>2E-3</v>
      </c>
      <c r="P266" s="32" t="s">
        <v>65</v>
      </c>
      <c r="Q266" s="24"/>
      <c r="R266" s="20"/>
      <c r="S266" s="20"/>
      <c r="T266" s="21"/>
      <c r="U266" s="20"/>
    </row>
    <row r="267" spans="1:21" s="14" customFormat="1" ht="48.75" hidden="1" customHeight="1" x14ac:dyDescent="0.2">
      <c r="A267" s="268"/>
      <c r="B267" s="505"/>
      <c r="C267" s="409"/>
      <c r="D267" s="409"/>
      <c r="E267" s="409"/>
      <c r="F267" s="409"/>
      <c r="G267" s="409"/>
      <c r="H267" s="409"/>
      <c r="I267" s="409"/>
      <c r="J267" s="409"/>
      <c r="K267" s="112" t="s">
        <v>86</v>
      </c>
      <c r="L267" s="519"/>
      <c r="M267" s="73" t="s">
        <v>66</v>
      </c>
      <c r="N267" s="74" t="s">
        <v>36</v>
      </c>
      <c r="O267" s="151">
        <f>27.04/100*0.029</f>
        <v>8.0000000000000002E-3</v>
      </c>
      <c r="P267" s="32" t="s">
        <v>65</v>
      </c>
      <c r="Q267" s="24"/>
      <c r="R267" s="20"/>
      <c r="S267" s="20"/>
      <c r="T267" s="21"/>
      <c r="U267" s="20"/>
    </row>
    <row r="268" spans="1:21" s="14" customFormat="1" ht="19.5" hidden="1" customHeight="1" x14ac:dyDescent="0.2">
      <c r="A268" s="264"/>
      <c r="B268" s="506"/>
      <c r="C268" s="409"/>
      <c r="D268" s="409"/>
      <c r="E268" s="409"/>
      <c r="F268" s="409"/>
      <c r="G268" s="409"/>
      <c r="H268" s="409"/>
      <c r="I268" s="409"/>
      <c r="J268" s="409"/>
      <c r="K268" s="112" t="s">
        <v>86</v>
      </c>
      <c r="L268" s="519"/>
      <c r="M268" s="73" t="s">
        <v>67</v>
      </c>
      <c r="N268" s="74" t="s">
        <v>33</v>
      </c>
      <c r="O268" s="152">
        <f>27.04/100*5.5</f>
        <v>1.4870000000000001</v>
      </c>
      <c r="P268" s="32" t="s">
        <v>65</v>
      </c>
      <c r="Q268" s="24"/>
      <c r="R268" s="20"/>
      <c r="S268" s="20"/>
      <c r="T268" s="21"/>
      <c r="U268" s="20"/>
    </row>
    <row r="269" spans="1:21" s="14" customFormat="1" ht="25.5" hidden="1" customHeight="1" x14ac:dyDescent="0.2">
      <c r="A269" s="593">
        <v>32</v>
      </c>
      <c r="B269" s="116" t="s">
        <v>265</v>
      </c>
      <c r="C269" s="89" t="s">
        <v>45</v>
      </c>
      <c r="D269" s="88"/>
      <c r="E269" s="88"/>
      <c r="F269" s="88"/>
      <c r="G269" s="88"/>
      <c r="H269" s="295">
        <v>120</v>
      </c>
      <c r="I269" s="295"/>
      <c r="J269" s="295"/>
      <c r="K269" s="88"/>
      <c r="L269" s="88"/>
      <c r="M269" s="77"/>
      <c r="N269" s="88"/>
      <c r="O269" s="34"/>
      <c r="P269" s="32"/>
      <c r="Q269" s="24"/>
      <c r="R269" s="20"/>
      <c r="S269" s="20"/>
      <c r="T269" s="21"/>
      <c r="U269" s="20"/>
    </row>
    <row r="270" spans="1:21" s="14" customFormat="1" ht="25.5" hidden="1" customHeight="1" x14ac:dyDescent="0.2">
      <c r="A270" s="594"/>
      <c r="B270" s="323" t="s">
        <v>38</v>
      </c>
      <c r="C270" s="190"/>
      <c r="D270" s="190"/>
      <c r="E270" s="190"/>
      <c r="F270" s="190"/>
      <c r="G270" s="190"/>
      <c r="H270" s="295"/>
      <c r="I270" s="295">
        <v>20</v>
      </c>
      <c r="J270" s="295"/>
      <c r="K270" s="88"/>
      <c r="L270" s="88"/>
      <c r="M270" s="77"/>
      <c r="N270" s="88"/>
      <c r="O270" s="34"/>
      <c r="P270" s="32"/>
      <c r="Q270" s="24"/>
      <c r="R270" s="20"/>
      <c r="S270" s="20"/>
      <c r="T270" s="21"/>
      <c r="U270" s="20"/>
    </row>
    <row r="271" spans="1:21" s="14" customFormat="1" ht="25.5" hidden="1" customHeight="1" x14ac:dyDescent="0.2">
      <c r="A271" s="594"/>
      <c r="B271" s="327" t="s">
        <v>87</v>
      </c>
      <c r="C271" s="88"/>
      <c r="D271" s="411" t="s">
        <v>28</v>
      </c>
      <c r="E271" s="411"/>
      <c r="F271" s="94"/>
      <c r="G271" s="94"/>
      <c r="H271" s="295"/>
      <c r="I271" s="295"/>
      <c r="J271" s="295">
        <f>J272</f>
        <v>2.4</v>
      </c>
      <c r="K271" s="88"/>
      <c r="L271" s="88"/>
      <c r="M271" s="77"/>
      <c r="N271" s="88"/>
      <c r="O271" s="34"/>
      <c r="P271" s="32"/>
      <c r="Q271" s="24"/>
      <c r="R271" s="20"/>
      <c r="S271" s="20"/>
      <c r="T271" s="21"/>
      <c r="U271" s="20"/>
    </row>
    <row r="272" spans="1:21" s="14" customFormat="1" ht="34.5" hidden="1" customHeight="1" x14ac:dyDescent="0.2">
      <c r="A272" s="594"/>
      <c r="B272" s="430" t="s">
        <v>88</v>
      </c>
      <c r="C272" s="433"/>
      <c r="D272" s="411" t="s">
        <v>28</v>
      </c>
      <c r="E272" s="411"/>
      <c r="F272" s="411" t="s">
        <v>50</v>
      </c>
      <c r="G272" s="417" t="s">
        <v>213</v>
      </c>
      <c r="H272" s="433"/>
      <c r="I272" s="433"/>
      <c r="J272" s="409">
        <f>I270*(H269/1000)</f>
        <v>2.4</v>
      </c>
      <c r="K272" s="73" t="s">
        <v>81</v>
      </c>
      <c r="L272" s="34">
        <v>1.24</v>
      </c>
      <c r="M272" s="227" t="s">
        <v>212</v>
      </c>
      <c r="N272" s="88" t="s">
        <v>135</v>
      </c>
      <c r="O272" s="36">
        <f>J272*L272</f>
        <v>2.976</v>
      </c>
      <c r="P272" s="32" t="s">
        <v>65</v>
      </c>
      <c r="Q272" s="24"/>
      <c r="R272" s="20"/>
      <c r="S272" s="20"/>
      <c r="T272" s="21"/>
      <c r="U272" s="20"/>
    </row>
    <row r="273" spans="1:21" s="14" customFormat="1" ht="12.75" hidden="1" x14ac:dyDescent="0.2">
      <c r="A273" s="594"/>
      <c r="B273" s="430"/>
      <c r="C273" s="433"/>
      <c r="D273" s="411"/>
      <c r="E273" s="411"/>
      <c r="F273" s="411"/>
      <c r="G273" s="418"/>
      <c r="H273" s="433"/>
      <c r="I273" s="433"/>
      <c r="J273" s="409"/>
      <c r="K273" s="73" t="s">
        <v>82</v>
      </c>
      <c r="L273" s="88">
        <f>2.5/1000</f>
        <v>2.5000000000000001E-3</v>
      </c>
      <c r="M273" s="226" t="s">
        <v>200</v>
      </c>
      <c r="N273" s="88" t="s">
        <v>36</v>
      </c>
      <c r="O273" s="38">
        <f>J272*L273</f>
        <v>6.0000000000000001E-3</v>
      </c>
      <c r="P273" s="32" t="s">
        <v>65</v>
      </c>
      <c r="Q273" s="24"/>
      <c r="R273" s="20"/>
      <c r="S273" s="20"/>
      <c r="T273" s="21"/>
      <c r="U273" s="20"/>
    </row>
    <row r="274" spans="1:21" s="14" customFormat="1" ht="27.75" hidden="1" customHeight="1" x14ac:dyDescent="0.2">
      <c r="A274" s="594"/>
      <c r="B274" s="430" t="s">
        <v>42</v>
      </c>
      <c r="C274" s="433"/>
      <c r="D274" s="434"/>
      <c r="E274" s="434"/>
      <c r="F274" s="417" t="s">
        <v>213</v>
      </c>
      <c r="G274" s="434"/>
      <c r="H274" s="433"/>
      <c r="I274" s="409">
        <f>I270</f>
        <v>20</v>
      </c>
      <c r="J274" s="433"/>
      <c r="K274" s="32" t="s">
        <v>89</v>
      </c>
      <c r="L274" s="38">
        <f>4.6/1000</f>
        <v>4.5999999999999999E-3</v>
      </c>
      <c r="M274" s="225" t="s">
        <v>199</v>
      </c>
      <c r="N274" s="88" t="s">
        <v>36</v>
      </c>
      <c r="O274" s="36">
        <f>I274*L274</f>
        <v>9.1999999999999998E-2</v>
      </c>
      <c r="P274" s="32" t="s">
        <v>65</v>
      </c>
      <c r="Q274" s="24"/>
      <c r="R274" s="20"/>
      <c r="S274" s="20"/>
      <c r="T274" s="21"/>
      <c r="U274" s="20"/>
    </row>
    <row r="275" spans="1:21" s="14" customFormat="1" ht="19.5" hidden="1" customHeight="1" x14ac:dyDescent="0.2">
      <c r="A275" s="594"/>
      <c r="B275" s="430"/>
      <c r="C275" s="433"/>
      <c r="D275" s="434"/>
      <c r="E275" s="434"/>
      <c r="F275" s="418"/>
      <c r="G275" s="434"/>
      <c r="H275" s="433"/>
      <c r="I275" s="409"/>
      <c r="J275" s="433"/>
      <c r="K275" s="32" t="s">
        <v>90</v>
      </c>
      <c r="L275" s="88">
        <f>0.015/1000</f>
        <v>1.5E-5</v>
      </c>
      <c r="M275" s="225" t="s">
        <v>198</v>
      </c>
      <c r="N275" s="88" t="s">
        <v>36</v>
      </c>
      <c r="O275" s="38">
        <f>I274*L275</f>
        <v>2.9999999999999997E-4</v>
      </c>
      <c r="P275" s="32" t="s">
        <v>65</v>
      </c>
      <c r="Q275" s="24"/>
      <c r="R275" s="20"/>
      <c r="S275" s="20"/>
      <c r="T275" s="21"/>
      <c r="U275" s="20"/>
    </row>
    <row r="276" spans="1:21" s="14" customFormat="1" ht="19.5" hidden="1" customHeight="1" x14ac:dyDescent="0.2">
      <c r="A276" s="268">
        <v>33</v>
      </c>
      <c r="B276" s="308" t="s">
        <v>232</v>
      </c>
      <c r="C276" s="272"/>
      <c r="D276" s="271"/>
      <c r="E276" s="271"/>
      <c r="F276" s="266"/>
      <c r="G276" s="271"/>
      <c r="H276" s="272"/>
      <c r="I276" s="262"/>
      <c r="J276" s="272"/>
      <c r="K276" s="270"/>
      <c r="L276" s="262"/>
      <c r="M276" s="225"/>
      <c r="N276" s="262"/>
      <c r="O276" s="38"/>
      <c r="P276" s="270"/>
      <c r="Q276" s="24"/>
      <c r="R276" s="20"/>
      <c r="S276" s="20"/>
      <c r="T276" s="21"/>
      <c r="U276" s="20"/>
    </row>
    <row r="277" spans="1:21" s="14" customFormat="1" ht="31.5" hidden="1" customHeight="1" x14ac:dyDescent="0.2">
      <c r="A277" s="268"/>
      <c r="B277" s="504" t="s">
        <v>191</v>
      </c>
      <c r="C277" s="409"/>
      <c r="D277" s="410"/>
      <c r="E277" s="410"/>
      <c r="F277" s="410"/>
      <c r="G277" s="410"/>
      <c r="H277" s="409"/>
      <c r="I277" s="409"/>
      <c r="J277" s="409"/>
      <c r="K277" s="88"/>
      <c r="L277" s="519" t="s">
        <v>128</v>
      </c>
      <c r="M277" s="77" t="s">
        <v>51</v>
      </c>
      <c r="N277" s="74" t="s">
        <v>36</v>
      </c>
      <c r="O277" s="158" t="s">
        <v>181</v>
      </c>
      <c r="P277" s="32" t="s">
        <v>65</v>
      </c>
      <c r="Q277" s="27" t="s">
        <v>149</v>
      </c>
      <c r="R277" s="20"/>
      <c r="S277" s="20"/>
      <c r="T277" s="21"/>
      <c r="U277" s="20"/>
    </row>
    <row r="278" spans="1:21" s="14" customFormat="1" ht="40.5" hidden="1" customHeight="1" x14ac:dyDescent="0.2">
      <c r="A278" s="268"/>
      <c r="B278" s="505"/>
      <c r="C278" s="409"/>
      <c r="D278" s="410"/>
      <c r="E278" s="410"/>
      <c r="F278" s="410"/>
      <c r="G278" s="410"/>
      <c r="H278" s="409"/>
      <c r="I278" s="409"/>
      <c r="J278" s="409"/>
      <c r="K278" s="112" t="s">
        <v>86</v>
      </c>
      <c r="L278" s="519"/>
      <c r="M278" s="73" t="s">
        <v>64</v>
      </c>
      <c r="N278" s="74" t="s">
        <v>30</v>
      </c>
      <c r="O278" s="151">
        <f>54.08/100*0.008</f>
        <v>4.0000000000000001E-3</v>
      </c>
      <c r="P278" s="32" t="s">
        <v>65</v>
      </c>
      <c r="Q278" s="24"/>
      <c r="R278" s="20"/>
      <c r="S278" s="20"/>
      <c r="T278" s="21"/>
      <c r="U278" s="20"/>
    </row>
    <row r="279" spans="1:21" s="14" customFormat="1" ht="48" hidden="1" customHeight="1" x14ac:dyDescent="0.2">
      <c r="A279" s="268"/>
      <c r="B279" s="505"/>
      <c r="C279" s="409"/>
      <c r="D279" s="410"/>
      <c r="E279" s="410"/>
      <c r="F279" s="410"/>
      <c r="G279" s="410"/>
      <c r="H279" s="409"/>
      <c r="I279" s="409"/>
      <c r="J279" s="409"/>
      <c r="K279" s="112" t="s">
        <v>86</v>
      </c>
      <c r="L279" s="519"/>
      <c r="M279" s="73" t="s">
        <v>66</v>
      </c>
      <c r="N279" s="74" t="s">
        <v>36</v>
      </c>
      <c r="O279" s="151">
        <f>54.08/100*0.029</f>
        <v>1.6E-2</v>
      </c>
      <c r="P279" s="32" t="s">
        <v>65</v>
      </c>
      <c r="Q279" s="24"/>
      <c r="R279" s="20"/>
      <c r="S279" s="20"/>
      <c r="T279" s="21"/>
      <c r="U279" s="20"/>
    </row>
    <row r="280" spans="1:21" s="14" customFormat="1" ht="19.5" hidden="1" customHeight="1" x14ac:dyDescent="0.2">
      <c r="A280" s="264"/>
      <c r="B280" s="506"/>
      <c r="C280" s="409"/>
      <c r="D280" s="410"/>
      <c r="E280" s="410"/>
      <c r="F280" s="410"/>
      <c r="G280" s="410"/>
      <c r="H280" s="409"/>
      <c r="I280" s="409"/>
      <c r="J280" s="409"/>
      <c r="K280" s="112" t="s">
        <v>86</v>
      </c>
      <c r="L280" s="519"/>
      <c r="M280" s="73" t="s">
        <v>67</v>
      </c>
      <c r="N280" s="74" t="s">
        <v>33</v>
      </c>
      <c r="O280" s="152">
        <f>54.08/100*5.5</f>
        <v>2.9740000000000002</v>
      </c>
      <c r="P280" s="32" t="s">
        <v>65</v>
      </c>
      <c r="Q280" s="24"/>
      <c r="R280" s="20"/>
      <c r="S280" s="20"/>
      <c r="T280" s="21"/>
      <c r="U280" s="20"/>
    </row>
    <row r="281" spans="1:21" s="14" customFormat="1" ht="29.25" hidden="1" customHeight="1" x14ac:dyDescent="0.2">
      <c r="A281" s="525">
        <v>34</v>
      </c>
      <c r="B281" s="293" t="s">
        <v>266</v>
      </c>
      <c r="C281" s="89"/>
      <c r="D281" s="88"/>
      <c r="E281" s="88"/>
      <c r="F281" s="88"/>
      <c r="G281" s="88"/>
      <c r="H281" s="88">
        <v>200</v>
      </c>
      <c r="I281" s="88"/>
      <c r="J281" s="88"/>
      <c r="K281" s="88"/>
      <c r="L281" s="88"/>
      <c r="M281" s="77"/>
      <c r="N281" s="88"/>
      <c r="O281" s="34"/>
      <c r="P281" s="88"/>
      <c r="Q281" s="24"/>
      <c r="R281" s="20"/>
      <c r="S281" s="20"/>
      <c r="T281" s="21"/>
      <c r="U281" s="20"/>
    </row>
    <row r="282" spans="1:21" s="14" customFormat="1" ht="19.5" hidden="1" customHeight="1" x14ac:dyDescent="0.2">
      <c r="A282" s="525"/>
      <c r="B282" s="117" t="s">
        <v>99</v>
      </c>
      <c r="C282" s="89"/>
      <c r="D282" s="409"/>
      <c r="E282" s="409"/>
      <c r="F282" s="88"/>
      <c r="G282" s="88"/>
      <c r="H282" s="88"/>
      <c r="I282" s="88"/>
      <c r="J282" s="88">
        <f>J283</f>
        <v>0.3</v>
      </c>
      <c r="K282" s="88"/>
      <c r="L282" s="88"/>
      <c r="M282" s="77"/>
      <c r="N282" s="88"/>
      <c r="O282" s="34"/>
      <c r="P282" s="88"/>
      <c r="Q282" s="24"/>
      <c r="R282" s="20"/>
      <c r="S282" s="20"/>
      <c r="T282" s="21"/>
      <c r="U282" s="20"/>
    </row>
    <row r="283" spans="1:21" s="14" customFormat="1" ht="19.5" hidden="1" customHeight="1" x14ac:dyDescent="0.2">
      <c r="A283" s="525"/>
      <c r="B283" s="449" t="s">
        <v>100</v>
      </c>
      <c r="C283" s="434"/>
      <c r="D283" s="410"/>
      <c r="E283" s="410"/>
      <c r="F283" s="411" t="s">
        <v>37</v>
      </c>
      <c r="G283" s="410"/>
      <c r="H283" s="410"/>
      <c r="I283" s="410"/>
      <c r="J283" s="410">
        <v>0.3</v>
      </c>
      <c r="K283" s="117"/>
      <c r="L283" s="117"/>
      <c r="M283" s="77" t="s">
        <v>57</v>
      </c>
      <c r="N283" s="88"/>
      <c r="O283" s="34"/>
      <c r="P283" s="88"/>
      <c r="Q283" s="24"/>
      <c r="R283" s="20"/>
      <c r="S283" s="20"/>
      <c r="T283" s="21"/>
      <c r="U283" s="20"/>
    </row>
    <row r="284" spans="1:21" s="14" customFormat="1" ht="19.5" hidden="1" customHeight="1" x14ac:dyDescent="0.2">
      <c r="A284" s="525"/>
      <c r="B284" s="449"/>
      <c r="C284" s="434"/>
      <c r="D284" s="410"/>
      <c r="E284" s="410"/>
      <c r="F284" s="411"/>
      <c r="G284" s="410"/>
      <c r="H284" s="410"/>
      <c r="I284" s="410"/>
      <c r="J284" s="410"/>
      <c r="K284" s="295" t="s">
        <v>101</v>
      </c>
      <c r="L284" s="295">
        <v>0.78300000000000003</v>
      </c>
      <c r="M284" s="95" t="s">
        <v>53</v>
      </c>
      <c r="N284" s="88"/>
      <c r="O284" s="34"/>
      <c r="P284" s="88"/>
      <c r="Q284" s="306"/>
      <c r="R284" s="20"/>
      <c r="S284" s="20"/>
      <c r="T284" s="21"/>
      <c r="U284" s="20"/>
    </row>
    <row r="285" spans="1:21" s="14" customFormat="1" ht="25.5" hidden="1" x14ac:dyDescent="0.2">
      <c r="A285" s="525"/>
      <c r="B285" s="449"/>
      <c r="C285" s="434"/>
      <c r="D285" s="410"/>
      <c r="E285" s="410"/>
      <c r="F285" s="411"/>
      <c r="G285" s="410"/>
      <c r="H285" s="410"/>
      <c r="I285" s="410"/>
      <c r="J285" s="410"/>
      <c r="K285" s="295" t="s">
        <v>102</v>
      </c>
      <c r="L285" s="295">
        <v>1.02</v>
      </c>
      <c r="M285" s="43" t="s">
        <v>194</v>
      </c>
      <c r="N285" s="88" t="s">
        <v>36</v>
      </c>
      <c r="O285" s="36">
        <f>J283*L284*L285</f>
        <v>0.24</v>
      </c>
      <c r="P285" s="95" t="s">
        <v>71</v>
      </c>
      <c r="Q285" s="24"/>
      <c r="R285" s="20"/>
      <c r="S285" s="20"/>
      <c r="T285" s="21"/>
      <c r="U285" s="20"/>
    </row>
    <row r="286" spans="1:21" s="14" customFormat="1" ht="19.5" hidden="1" customHeight="1" x14ac:dyDescent="0.2">
      <c r="A286" s="525"/>
      <c r="B286" s="449"/>
      <c r="C286" s="434"/>
      <c r="D286" s="410"/>
      <c r="E286" s="410"/>
      <c r="F286" s="411"/>
      <c r="G286" s="410"/>
      <c r="H286" s="410"/>
      <c r="I286" s="410"/>
      <c r="J286" s="410"/>
      <c r="K286" s="295" t="s">
        <v>103</v>
      </c>
      <c r="L286" s="295">
        <v>0.78300000000000003</v>
      </c>
      <c r="M286" s="95" t="s">
        <v>54</v>
      </c>
      <c r="N286" s="88"/>
      <c r="O286" s="36"/>
      <c r="P286" s="95"/>
      <c r="Q286" s="24"/>
      <c r="R286" s="20"/>
      <c r="S286" s="20"/>
      <c r="T286" s="21"/>
      <c r="U286" s="20"/>
    </row>
    <row r="287" spans="1:21" s="14" customFormat="1" ht="19.5" hidden="1" customHeight="1" x14ac:dyDescent="0.2">
      <c r="A287" s="525"/>
      <c r="B287" s="449"/>
      <c r="C287" s="434"/>
      <c r="D287" s="410"/>
      <c r="E287" s="410"/>
      <c r="F287" s="411"/>
      <c r="G287" s="410"/>
      <c r="H287" s="410"/>
      <c r="I287" s="410"/>
      <c r="J287" s="410"/>
      <c r="K287" s="295" t="s">
        <v>102</v>
      </c>
      <c r="L287" s="295">
        <v>1.02</v>
      </c>
      <c r="M287" s="95" t="s">
        <v>55</v>
      </c>
      <c r="N287" s="88" t="s">
        <v>36</v>
      </c>
      <c r="O287" s="36">
        <f>J283*L286*L287</f>
        <v>0.24</v>
      </c>
      <c r="P287" s="95" t="s">
        <v>71</v>
      </c>
      <c r="Q287" s="24"/>
      <c r="R287" s="20"/>
      <c r="S287" s="20"/>
      <c r="T287" s="21"/>
      <c r="U287" s="20"/>
    </row>
    <row r="288" spans="1:21" s="14" customFormat="1" ht="19.5" hidden="1" customHeight="1" x14ac:dyDescent="0.2">
      <c r="A288" s="525"/>
      <c r="B288" s="449"/>
      <c r="C288" s="434"/>
      <c r="D288" s="410"/>
      <c r="E288" s="410"/>
      <c r="F288" s="411"/>
      <c r="G288" s="410"/>
      <c r="H288" s="410"/>
      <c r="I288" s="410"/>
      <c r="J288" s="410"/>
      <c r="K288" s="295" t="s">
        <v>104</v>
      </c>
      <c r="L288" s="295">
        <v>0.308</v>
      </c>
      <c r="M288" s="95" t="s">
        <v>56</v>
      </c>
      <c r="N288" s="88"/>
      <c r="O288" s="36"/>
      <c r="P288" s="95"/>
      <c r="Q288" s="24"/>
      <c r="R288" s="20"/>
      <c r="S288" s="20"/>
      <c r="T288" s="21"/>
      <c r="U288" s="20"/>
    </row>
    <row r="289" spans="1:21" s="14" customFormat="1" ht="19.5" hidden="1" customHeight="1" x14ac:dyDescent="0.2">
      <c r="A289" s="525"/>
      <c r="B289" s="449"/>
      <c r="C289" s="434"/>
      <c r="D289" s="410"/>
      <c r="E289" s="410"/>
      <c r="F289" s="411"/>
      <c r="G289" s="410"/>
      <c r="H289" s="410"/>
      <c r="I289" s="410"/>
      <c r="J289" s="410"/>
      <c r="K289" s="295" t="s">
        <v>102</v>
      </c>
      <c r="L289" s="295">
        <v>1.02</v>
      </c>
      <c r="M289" s="95" t="s">
        <v>105</v>
      </c>
      <c r="N289" s="88" t="s">
        <v>36</v>
      </c>
      <c r="O289" s="36">
        <f>J283*L288*L289</f>
        <v>9.4E-2</v>
      </c>
      <c r="P289" s="95" t="s">
        <v>71</v>
      </c>
      <c r="Q289" s="24"/>
      <c r="R289" s="20"/>
      <c r="S289" s="20"/>
      <c r="T289" s="21"/>
      <c r="U289" s="20"/>
    </row>
    <row r="290" spans="1:21" s="14" customFormat="1" ht="31.5" hidden="1" customHeight="1" x14ac:dyDescent="0.2">
      <c r="A290" s="525">
        <v>35</v>
      </c>
      <c r="B290" s="293" t="s">
        <v>267</v>
      </c>
      <c r="C290" s="89"/>
      <c r="D290" s="88"/>
      <c r="E290" s="88"/>
      <c r="F290" s="88"/>
      <c r="G290" s="88"/>
      <c r="H290" s="88">
        <v>200</v>
      </c>
      <c r="I290" s="88"/>
      <c r="J290" s="88"/>
      <c r="K290" s="295"/>
      <c r="L290" s="295"/>
      <c r="M290" s="77"/>
      <c r="N290" s="88"/>
      <c r="O290" s="34"/>
      <c r="P290" s="88"/>
      <c r="Q290" s="24"/>
      <c r="R290" s="20"/>
      <c r="S290" s="20"/>
      <c r="T290" s="21"/>
      <c r="U290" s="20"/>
    </row>
    <row r="291" spans="1:21" s="14" customFormat="1" ht="25.5" hidden="1" customHeight="1" x14ac:dyDescent="0.2">
      <c r="A291" s="525"/>
      <c r="B291" s="117" t="s">
        <v>99</v>
      </c>
      <c r="C291" s="89"/>
      <c r="D291" s="409"/>
      <c r="E291" s="409"/>
      <c r="F291" s="88"/>
      <c r="G291" s="88"/>
      <c r="H291" s="88"/>
      <c r="I291" s="88"/>
      <c r="J291" s="88">
        <f>J292</f>
        <v>1.88</v>
      </c>
      <c r="K291" s="295"/>
      <c r="L291" s="295"/>
      <c r="M291" s="77"/>
      <c r="N291" s="88"/>
      <c r="O291" s="34"/>
      <c r="P291" s="88"/>
      <c r="Q291" s="24"/>
      <c r="R291" s="20"/>
      <c r="S291" s="20"/>
      <c r="T291" s="21"/>
      <c r="U291" s="20"/>
    </row>
    <row r="292" spans="1:21" s="14" customFormat="1" ht="19.5" hidden="1" customHeight="1" x14ac:dyDescent="0.2">
      <c r="A292" s="525"/>
      <c r="B292" s="449" t="s">
        <v>100</v>
      </c>
      <c r="C292" s="434"/>
      <c r="D292" s="410"/>
      <c r="E292" s="410"/>
      <c r="F292" s="411" t="s">
        <v>37</v>
      </c>
      <c r="G292" s="410"/>
      <c r="H292" s="410"/>
      <c r="I292" s="410"/>
      <c r="J292" s="410">
        <f>0.03*20+0.32*4</f>
        <v>1.88</v>
      </c>
      <c r="K292" s="303"/>
      <c r="L292" s="303"/>
      <c r="M292" s="77" t="s">
        <v>57</v>
      </c>
      <c r="N292" s="88"/>
      <c r="O292" s="34"/>
      <c r="P292" s="88"/>
      <c r="Q292" s="24"/>
      <c r="R292" s="20"/>
      <c r="S292" s="20"/>
      <c r="T292" s="21"/>
      <c r="U292" s="20"/>
    </row>
    <row r="293" spans="1:21" s="14" customFormat="1" ht="19.5" hidden="1" customHeight="1" x14ac:dyDescent="0.2">
      <c r="A293" s="525"/>
      <c r="B293" s="449"/>
      <c r="C293" s="434"/>
      <c r="D293" s="410"/>
      <c r="E293" s="410"/>
      <c r="F293" s="411"/>
      <c r="G293" s="410"/>
      <c r="H293" s="410"/>
      <c r="I293" s="410"/>
      <c r="J293" s="410"/>
      <c r="K293" s="295" t="s">
        <v>101</v>
      </c>
      <c r="L293" s="295">
        <v>0.78300000000000003</v>
      </c>
      <c r="M293" s="95" t="s">
        <v>53</v>
      </c>
      <c r="N293" s="88"/>
      <c r="O293" s="34"/>
      <c r="P293" s="88"/>
      <c r="Q293" s="306"/>
      <c r="R293" s="20"/>
      <c r="S293" s="20"/>
      <c r="T293" s="21"/>
      <c r="U293" s="20"/>
    </row>
    <row r="294" spans="1:21" s="14" customFormat="1" ht="25.5" hidden="1" x14ac:dyDescent="0.2">
      <c r="A294" s="525"/>
      <c r="B294" s="449"/>
      <c r="C294" s="434"/>
      <c r="D294" s="410"/>
      <c r="E294" s="410"/>
      <c r="F294" s="411"/>
      <c r="G294" s="410"/>
      <c r="H294" s="410"/>
      <c r="I294" s="410"/>
      <c r="J294" s="410"/>
      <c r="K294" s="295" t="s">
        <v>102</v>
      </c>
      <c r="L294" s="295">
        <v>1.02</v>
      </c>
      <c r="M294" s="43" t="s">
        <v>194</v>
      </c>
      <c r="N294" s="88" t="s">
        <v>36</v>
      </c>
      <c r="O294" s="36">
        <f>J292*L293*L294</f>
        <v>1.5009999999999999</v>
      </c>
      <c r="P294" s="95" t="s">
        <v>71</v>
      </c>
      <c r="Q294" s="24"/>
      <c r="R294" s="20"/>
      <c r="S294" s="20"/>
      <c r="T294" s="21"/>
      <c r="U294" s="20"/>
    </row>
    <row r="295" spans="1:21" s="14" customFormat="1" ht="19.5" hidden="1" customHeight="1" x14ac:dyDescent="0.2">
      <c r="A295" s="525"/>
      <c r="B295" s="449"/>
      <c r="C295" s="434"/>
      <c r="D295" s="410"/>
      <c r="E295" s="410"/>
      <c r="F295" s="411"/>
      <c r="G295" s="410"/>
      <c r="H295" s="410"/>
      <c r="I295" s="410"/>
      <c r="J295" s="410"/>
      <c r="K295" s="295" t="s">
        <v>103</v>
      </c>
      <c r="L295" s="295">
        <v>0.78300000000000003</v>
      </c>
      <c r="M295" s="95" t="s">
        <v>54</v>
      </c>
      <c r="N295" s="88"/>
      <c r="O295" s="36"/>
      <c r="P295" s="95"/>
      <c r="Q295" s="24"/>
      <c r="R295" s="20"/>
      <c r="S295" s="20"/>
      <c r="T295" s="21"/>
      <c r="U295" s="20"/>
    </row>
    <row r="296" spans="1:21" s="14" customFormat="1" ht="19.5" hidden="1" customHeight="1" x14ac:dyDescent="0.2">
      <c r="A296" s="525"/>
      <c r="B296" s="449"/>
      <c r="C296" s="434"/>
      <c r="D296" s="410"/>
      <c r="E296" s="410"/>
      <c r="F296" s="411"/>
      <c r="G296" s="410"/>
      <c r="H296" s="410"/>
      <c r="I296" s="410"/>
      <c r="J296" s="410"/>
      <c r="K296" s="295" t="s">
        <v>102</v>
      </c>
      <c r="L296" s="295">
        <v>1.02</v>
      </c>
      <c r="M296" s="95" t="s">
        <v>55</v>
      </c>
      <c r="N296" s="88" t="s">
        <v>36</v>
      </c>
      <c r="O296" s="36">
        <f>J292*L295*L296</f>
        <v>1.5009999999999999</v>
      </c>
      <c r="P296" s="95" t="s">
        <v>71</v>
      </c>
      <c r="Q296" s="24"/>
      <c r="R296" s="20"/>
      <c r="S296" s="20"/>
      <c r="T296" s="21"/>
      <c r="U296" s="20"/>
    </row>
    <row r="297" spans="1:21" s="14" customFormat="1" ht="19.5" hidden="1" customHeight="1" x14ac:dyDescent="0.2">
      <c r="A297" s="525"/>
      <c r="B297" s="449"/>
      <c r="C297" s="434"/>
      <c r="D297" s="410"/>
      <c r="E297" s="410"/>
      <c r="F297" s="411"/>
      <c r="G297" s="410"/>
      <c r="H297" s="410"/>
      <c r="I297" s="410"/>
      <c r="J297" s="410"/>
      <c r="K297" s="295" t="s">
        <v>104</v>
      </c>
      <c r="L297" s="295">
        <v>0.308</v>
      </c>
      <c r="M297" s="95" t="s">
        <v>56</v>
      </c>
      <c r="N297" s="88"/>
      <c r="O297" s="36"/>
      <c r="P297" s="95"/>
      <c r="Q297" s="24"/>
      <c r="R297" s="20"/>
      <c r="S297" s="20"/>
      <c r="T297" s="21"/>
      <c r="U297" s="20"/>
    </row>
    <row r="298" spans="1:21" s="14" customFormat="1" ht="19.5" hidden="1" customHeight="1" x14ac:dyDescent="0.2">
      <c r="A298" s="525"/>
      <c r="B298" s="449"/>
      <c r="C298" s="434"/>
      <c r="D298" s="410"/>
      <c r="E298" s="410"/>
      <c r="F298" s="411"/>
      <c r="G298" s="410"/>
      <c r="H298" s="410"/>
      <c r="I298" s="410"/>
      <c r="J298" s="410"/>
      <c r="K298" s="295" t="s">
        <v>102</v>
      </c>
      <c r="L298" s="295">
        <v>1.02</v>
      </c>
      <c r="M298" s="95" t="s">
        <v>105</v>
      </c>
      <c r="N298" s="88" t="s">
        <v>36</v>
      </c>
      <c r="O298" s="36">
        <f>J292*L297*L298</f>
        <v>0.59099999999999997</v>
      </c>
      <c r="P298" s="95" t="s">
        <v>71</v>
      </c>
      <c r="Q298" s="24"/>
      <c r="R298" s="20"/>
      <c r="S298" s="20"/>
      <c r="T298" s="21"/>
      <c r="U298" s="20"/>
    </row>
    <row r="299" spans="1:21" s="14" customFormat="1" ht="12.75" hidden="1" x14ac:dyDescent="0.2">
      <c r="A299" s="471">
        <v>36</v>
      </c>
      <c r="B299" s="292" t="s">
        <v>233</v>
      </c>
      <c r="C299" s="74">
        <v>560</v>
      </c>
      <c r="D299" s="74">
        <v>32</v>
      </c>
      <c r="E299" s="250">
        <v>36</v>
      </c>
      <c r="F299" s="46"/>
      <c r="G299" s="46"/>
      <c r="H299" s="74">
        <v>50</v>
      </c>
      <c r="I299" s="42"/>
      <c r="J299" s="74"/>
      <c r="K299" s="104"/>
      <c r="L299" s="104"/>
      <c r="M299" s="94"/>
      <c r="N299" s="94"/>
      <c r="O299" s="74"/>
      <c r="P299" s="104"/>
      <c r="Q299" s="24"/>
      <c r="R299" s="20"/>
      <c r="S299" s="20"/>
      <c r="T299" s="21"/>
      <c r="U299" s="20"/>
    </row>
    <row r="300" spans="1:21" s="14" customFormat="1" ht="19.5" hidden="1" customHeight="1" x14ac:dyDescent="0.2">
      <c r="A300" s="472"/>
      <c r="B300" s="331" t="s">
        <v>91</v>
      </c>
      <c r="C300" s="74"/>
      <c r="D300" s="104"/>
      <c r="E300" s="105"/>
      <c r="F300" s="164"/>
      <c r="G300" s="46"/>
      <c r="H300" s="74"/>
      <c r="I300" s="42">
        <f>I304</f>
        <v>16.41</v>
      </c>
      <c r="J300" s="74"/>
      <c r="K300" s="104"/>
      <c r="L300" s="104"/>
      <c r="M300" s="94"/>
      <c r="N300" s="94"/>
      <c r="O300" s="74"/>
      <c r="P300" s="104"/>
      <c r="Q300" s="24"/>
      <c r="R300" s="20"/>
      <c r="S300" s="20"/>
      <c r="T300" s="21"/>
      <c r="U300" s="20"/>
    </row>
    <row r="301" spans="1:21" s="14" customFormat="1" ht="33.75" hidden="1" customHeight="1" x14ac:dyDescent="0.2">
      <c r="A301" s="472"/>
      <c r="B301" s="327" t="s">
        <v>92</v>
      </c>
      <c r="C301" s="74"/>
      <c r="D301" s="407" t="s">
        <v>52</v>
      </c>
      <c r="E301" s="408"/>
      <c r="F301" s="164"/>
      <c r="G301" s="46"/>
      <c r="H301" s="74"/>
      <c r="I301" s="42"/>
      <c r="J301" s="42">
        <f>J302</f>
        <v>0.46</v>
      </c>
      <c r="K301" s="53"/>
      <c r="L301" s="53"/>
      <c r="M301" s="94"/>
      <c r="N301" s="94"/>
      <c r="O301" s="74"/>
      <c r="P301" s="104"/>
      <c r="Q301" s="24"/>
      <c r="R301" s="20"/>
      <c r="S301" s="20"/>
      <c r="T301" s="21"/>
      <c r="U301" s="20"/>
    </row>
    <row r="302" spans="1:21" s="14" customFormat="1" ht="25.5" hidden="1" customHeight="1" x14ac:dyDescent="0.2">
      <c r="A302" s="472"/>
      <c r="B302" s="423" t="s">
        <v>93</v>
      </c>
      <c r="C302" s="424"/>
      <c r="D302" s="426" t="s">
        <v>52</v>
      </c>
      <c r="E302" s="427"/>
      <c r="F302" s="446" t="s">
        <v>72</v>
      </c>
      <c r="G302" s="404" t="s">
        <v>40</v>
      </c>
      <c r="H302" s="440"/>
      <c r="I302" s="444"/>
      <c r="J302" s="444">
        <f>((D299/1000)+(H299/1000))*(H299/1000)*3.14*E299</f>
        <v>0.46</v>
      </c>
      <c r="K302" s="115" t="s">
        <v>95</v>
      </c>
      <c r="L302" s="33">
        <v>525</v>
      </c>
      <c r="M302" s="73" t="s">
        <v>73</v>
      </c>
      <c r="N302" s="88" t="s">
        <v>31</v>
      </c>
      <c r="O302" s="219">
        <f>J302*L302</f>
        <v>241.5</v>
      </c>
      <c r="P302" s="304" t="s">
        <v>65</v>
      </c>
      <c r="Q302" s="24"/>
      <c r="R302" s="20"/>
      <c r="S302" s="20"/>
      <c r="T302" s="21"/>
      <c r="U302" s="20"/>
    </row>
    <row r="303" spans="1:21" s="14" customFormat="1" ht="18" hidden="1" customHeight="1" x14ac:dyDescent="0.2">
      <c r="A303" s="472"/>
      <c r="B303" s="423"/>
      <c r="C303" s="425"/>
      <c r="D303" s="428"/>
      <c r="E303" s="429"/>
      <c r="F303" s="447"/>
      <c r="G303" s="406"/>
      <c r="H303" s="441"/>
      <c r="I303" s="445"/>
      <c r="J303" s="445"/>
      <c r="K303" s="115" t="s">
        <v>96</v>
      </c>
      <c r="L303" s="86">
        <f>0.4/1000</f>
        <v>4.0000000000000002E-4</v>
      </c>
      <c r="M303" s="226" t="s">
        <v>200</v>
      </c>
      <c r="N303" s="88" t="s">
        <v>36</v>
      </c>
      <c r="O303" s="38">
        <f>J302*L303</f>
        <v>2.0000000000000001E-4</v>
      </c>
      <c r="P303" s="304" t="s">
        <v>65</v>
      </c>
      <c r="Q303" s="24"/>
      <c r="R303" s="20"/>
      <c r="S303" s="20"/>
      <c r="T303" s="21"/>
      <c r="U303" s="20"/>
    </row>
    <row r="304" spans="1:21" s="14" customFormat="1" ht="30" hidden="1" customHeight="1" x14ac:dyDescent="0.2">
      <c r="A304" s="472"/>
      <c r="B304" s="477" t="s">
        <v>137</v>
      </c>
      <c r="C304" s="424"/>
      <c r="D304" s="440"/>
      <c r="E304" s="440"/>
      <c r="F304" s="404" t="s">
        <v>40</v>
      </c>
      <c r="G304" s="440"/>
      <c r="H304" s="440"/>
      <c r="I304" s="444">
        <f>3.14*(D299/1000+2*H299/1000)*1.1*E299</f>
        <v>16.41</v>
      </c>
      <c r="J304" s="440"/>
      <c r="K304" s="274" t="s">
        <v>97</v>
      </c>
      <c r="L304" s="86">
        <v>1.05</v>
      </c>
      <c r="M304" s="225" t="s">
        <v>202</v>
      </c>
      <c r="N304" s="88" t="s">
        <v>136</v>
      </c>
      <c r="O304" s="36">
        <f>I304*L304</f>
        <v>17.231000000000002</v>
      </c>
      <c r="P304" s="304" t="s">
        <v>65</v>
      </c>
      <c r="Q304" s="24"/>
      <c r="R304" s="314"/>
      <c r="S304" s="20"/>
      <c r="T304" s="21"/>
      <c r="U304" s="20"/>
    </row>
    <row r="305" spans="1:21" s="14" customFormat="1" ht="19.5" hidden="1" customHeight="1" x14ac:dyDescent="0.2">
      <c r="A305" s="473"/>
      <c r="B305" s="478"/>
      <c r="C305" s="425"/>
      <c r="D305" s="441"/>
      <c r="E305" s="441"/>
      <c r="F305" s="406"/>
      <c r="G305" s="441"/>
      <c r="H305" s="441"/>
      <c r="I305" s="445"/>
      <c r="J305" s="441"/>
      <c r="K305" s="274" t="s">
        <v>98</v>
      </c>
      <c r="L305" s="86">
        <f>0.0304/1000</f>
        <v>3.04E-5</v>
      </c>
      <c r="M305" s="226" t="s">
        <v>200</v>
      </c>
      <c r="N305" s="88" t="s">
        <v>36</v>
      </c>
      <c r="O305" s="38">
        <f>I304*L305</f>
        <v>5.0000000000000001E-4</v>
      </c>
      <c r="P305" s="304" t="s">
        <v>65</v>
      </c>
      <c r="Q305" s="24"/>
      <c r="R305" s="314"/>
      <c r="S305" s="20"/>
      <c r="T305" s="21"/>
      <c r="U305" s="20"/>
    </row>
    <row r="306" spans="1:21" s="14" customFormat="1" ht="40.5" hidden="1" customHeight="1" x14ac:dyDescent="0.2">
      <c r="A306" s="471">
        <v>37</v>
      </c>
      <c r="B306" s="292" t="s">
        <v>268</v>
      </c>
      <c r="C306" s="74">
        <v>560</v>
      </c>
      <c r="D306" s="74">
        <v>32</v>
      </c>
      <c r="E306" s="250">
        <v>76</v>
      </c>
      <c r="F306" s="46"/>
      <c r="G306" s="46"/>
      <c r="H306" s="74">
        <v>50</v>
      </c>
      <c r="I306" s="42"/>
      <c r="J306" s="74"/>
      <c r="K306" s="104"/>
      <c r="L306" s="104"/>
      <c r="M306" s="94"/>
      <c r="N306" s="94"/>
      <c r="O306" s="74"/>
      <c r="P306" s="273"/>
      <c r="Q306" s="24"/>
      <c r="R306" s="313"/>
      <c r="S306" s="20"/>
      <c r="T306" s="21"/>
      <c r="U306" s="20"/>
    </row>
    <row r="307" spans="1:21" s="14" customFormat="1" ht="22.5" hidden="1" customHeight="1" x14ac:dyDescent="0.2">
      <c r="A307" s="472"/>
      <c r="B307" s="331" t="s">
        <v>91</v>
      </c>
      <c r="C307" s="74"/>
      <c r="D307" s="104"/>
      <c r="E307" s="105"/>
      <c r="F307" s="164"/>
      <c r="G307" s="46"/>
      <c r="H307" s="74"/>
      <c r="I307" s="42">
        <f>I311</f>
        <v>34.65</v>
      </c>
      <c r="J307" s="74"/>
      <c r="K307" s="104"/>
      <c r="L307" s="104"/>
      <c r="M307" s="94"/>
      <c r="N307" s="94"/>
      <c r="O307" s="74"/>
      <c r="P307" s="273"/>
      <c r="Q307" s="24"/>
      <c r="R307" s="20"/>
      <c r="S307" s="20"/>
      <c r="T307" s="21"/>
      <c r="U307" s="20"/>
    </row>
    <row r="308" spans="1:21" s="14" customFormat="1" ht="29.25" hidden="1" customHeight="1" x14ac:dyDescent="0.2">
      <c r="A308" s="472"/>
      <c r="B308" s="327" t="s">
        <v>92</v>
      </c>
      <c r="C308" s="74"/>
      <c r="D308" s="407" t="s">
        <v>52</v>
      </c>
      <c r="E308" s="408"/>
      <c r="F308" s="228" t="s">
        <v>179</v>
      </c>
      <c r="G308" s="46"/>
      <c r="H308" s="74"/>
      <c r="I308" s="42"/>
      <c r="J308" s="42">
        <f>J309</f>
        <v>0.98</v>
      </c>
      <c r="K308" s="53"/>
      <c r="L308" s="53"/>
      <c r="M308" s="94"/>
      <c r="N308" s="94"/>
      <c r="O308" s="74"/>
      <c r="P308" s="273"/>
      <c r="Q308" s="24"/>
      <c r="R308" s="20"/>
      <c r="S308" s="20"/>
      <c r="T308" s="21"/>
      <c r="U308" s="20"/>
    </row>
    <row r="309" spans="1:21" s="14" customFormat="1" ht="19.5" hidden="1" customHeight="1" x14ac:dyDescent="0.2">
      <c r="A309" s="472"/>
      <c r="B309" s="423" t="s">
        <v>93</v>
      </c>
      <c r="C309" s="424"/>
      <c r="D309" s="426" t="s">
        <v>52</v>
      </c>
      <c r="E309" s="427"/>
      <c r="F309" s="446" t="s">
        <v>72</v>
      </c>
      <c r="G309" s="404" t="s">
        <v>40</v>
      </c>
      <c r="H309" s="440"/>
      <c r="I309" s="444"/>
      <c r="J309" s="444">
        <f>((D306/1000)+(H306/1000))*(H306/1000)*3.14*E306</f>
        <v>0.98</v>
      </c>
      <c r="K309" s="33" t="s">
        <v>95</v>
      </c>
      <c r="L309" s="33">
        <v>525</v>
      </c>
      <c r="M309" s="73" t="s">
        <v>73</v>
      </c>
      <c r="N309" s="88" t="s">
        <v>31</v>
      </c>
      <c r="O309" s="34">
        <f>J309*L309</f>
        <v>514.5</v>
      </c>
      <c r="P309" s="304" t="s">
        <v>65</v>
      </c>
      <c r="Q309" s="24"/>
      <c r="R309" s="20"/>
      <c r="S309" s="20"/>
      <c r="T309" s="21"/>
      <c r="U309" s="20"/>
    </row>
    <row r="310" spans="1:21" s="14" customFormat="1" ht="18.75" hidden="1" customHeight="1" x14ac:dyDescent="0.2">
      <c r="A310" s="472"/>
      <c r="B310" s="423"/>
      <c r="C310" s="425"/>
      <c r="D310" s="428"/>
      <c r="E310" s="429"/>
      <c r="F310" s="447"/>
      <c r="G310" s="406"/>
      <c r="H310" s="441"/>
      <c r="I310" s="445"/>
      <c r="J310" s="445"/>
      <c r="K310" s="115" t="s">
        <v>96</v>
      </c>
      <c r="L310" s="86">
        <f>0.4/1000</f>
        <v>4.0000000000000002E-4</v>
      </c>
      <c r="M310" s="226" t="s">
        <v>200</v>
      </c>
      <c r="N310" s="88" t="s">
        <v>36</v>
      </c>
      <c r="O310" s="38">
        <f>J309*L310</f>
        <v>4.0000000000000002E-4</v>
      </c>
      <c r="P310" s="304" t="s">
        <v>65</v>
      </c>
      <c r="Q310" s="24"/>
      <c r="R310" s="20"/>
      <c r="S310" s="20"/>
      <c r="T310" s="21"/>
      <c r="U310" s="20"/>
    </row>
    <row r="311" spans="1:21" s="14" customFormat="1" ht="24.75" hidden="1" customHeight="1" x14ac:dyDescent="0.2">
      <c r="A311" s="472"/>
      <c r="B311" s="477" t="s">
        <v>137</v>
      </c>
      <c r="C311" s="424"/>
      <c r="D311" s="440"/>
      <c r="E311" s="440"/>
      <c r="F311" s="404" t="s">
        <v>40</v>
      </c>
      <c r="G311" s="440"/>
      <c r="H311" s="440"/>
      <c r="I311" s="444">
        <f>3.14*(D306/1000+2*H306/1000)*1.1*E306</f>
        <v>34.65</v>
      </c>
      <c r="J311" s="440"/>
      <c r="K311" s="86" t="s">
        <v>97</v>
      </c>
      <c r="L311" s="86">
        <v>1.05</v>
      </c>
      <c r="M311" s="225" t="s">
        <v>202</v>
      </c>
      <c r="N311" s="88" t="s">
        <v>136</v>
      </c>
      <c r="O311" s="36">
        <f>I311*L311</f>
        <v>36.383000000000003</v>
      </c>
      <c r="P311" s="304" t="s">
        <v>65</v>
      </c>
      <c r="Q311" s="24"/>
      <c r="R311" s="20"/>
      <c r="S311" s="20"/>
      <c r="T311" s="21"/>
      <c r="U311" s="20"/>
    </row>
    <row r="312" spans="1:21" s="14" customFormat="1" ht="18.75" hidden="1" customHeight="1" x14ac:dyDescent="0.2">
      <c r="A312" s="473"/>
      <c r="B312" s="478"/>
      <c r="C312" s="425"/>
      <c r="D312" s="441"/>
      <c r="E312" s="441"/>
      <c r="F312" s="406"/>
      <c r="G312" s="441"/>
      <c r="H312" s="441"/>
      <c r="I312" s="445"/>
      <c r="J312" s="441"/>
      <c r="K312" s="86" t="s">
        <v>98</v>
      </c>
      <c r="L312" s="86">
        <f>0.0304/1000</f>
        <v>3.04E-5</v>
      </c>
      <c r="M312" s="226" t="s">
        <v>200</v>
      </c>
      <c r="N312" s="88" t="s">
        <v>36</v>
      </c>
      <c r="O312" s="38">
        <f>I311*L312</f>
        <v>1.1000000000000001E-3</v>
      </c>
      <c r="P312" s="304" t="s">
        <v>65</v>
      </c>
      <c r="Q312" s="24"/>
      <c r="R312" s="20"/>
      <c r="S312" s="20"/>
      <c r="T312" s="21"/>
      <c r="U312" s="20"/>
    </row>
    <row r="313" spans="1:21" s="14" customFormat="1" ht="36" hidden="1" customHeight="1" x14ac:dyDescent="0.2">
      <c r="A313" s="525">
        <v>38</v>
      </c>
      <c r="B313" s="116" t="s">
        <v>234</v>
      </c>
      <c r="C313" s="89" t="s">
        <v>39</v>
      </c>
      <c r="D313" s="88">
        <v>76</v>
      </c>
      <c r="E313" s="88">
        <f>E319+E321</f>
        <v>12</v>
      </c>
      <c r="F313" s="88"/>
      <c r="G313" s="88"/>
      <c r="H313" s="88">
        <v>50</v>
      </c>
      <c r="I313" s="34"/>
      <c r="J313" s="88"/>
      <c r="K313" s="86"/>
      <c r="L313" s="86"/>
      <c r="M313" s="37"/>
      <c r="N313" s="37"/>
      <c r="O313" s="88"/>
      <c r="P313" s="86"/>
      <c r="Q313" s="41"/>
      <c r="R313" s="20"/>
      <c r="S313" s="20"/>
      <c r="T313" s="21"/>
      <c r="U313" s="20"/>
    </row>
    <row r="314" spans="1:21" s="14" customFormat="1" ht="26.25" hidden="1" customHeight="1" x14ac:dyDescent="0.2">
      <c r="A314" s="525"/>
      <c r="B314" s="323" t="s">
        <v>38</v>
      </c>
      <c r="C314" s="89"/>
      <c r="D314" s="234" t="s">
        <v>58</v>
      </c>
      <c r="E314" s="88">
        <v>39</v>
      </c>
      <c r="F314" s="88"/>
      <c r="G314" s="88"/>
      <c r="H314" s="88"/>
      <c r="I314" s="34">
        <f>((D313/1000)+(2*H313/1000))*3.14*E314</f>
        <v>21.55</v>
      </c>
      <c r="J314" s="88"/>
      <c r="K314" s="86"/>
      <c r="L314" s="86"/>
      <c r="M314" s="37"/>
      <c r="N314" s="37"/>
      <c r="O314" s="88"/>
      <c r="P314" s="86"/>
      <c r="Q314" s="41"/>
      <c r="R314" s="20"/>
      <c r="S314" s="20"/>
      <c r="T314" s="21"/>
      <c r="U314" s="20"/>
    </row>
    <row r="315" spans="1:21" s="14" customFormat="1" ht="26.25" hidden="1" customHeight="1" x14ac:dyDescent="0.2">
      <c r="A315" s="525"/>
      <c r="B315" s="323" t="s">
        <v>41</v>
      </c>
      <c r="C315" s="89"/>
      <c r="D315" s="234" t="s">
        <v>58</v>
      </c>
      <c r="E315" s="88">
        <v>3</v>
      </c>
      <c r="F315" s="88"/>
      <c r="G315" s="88"/>
      <c r="H315" s="88"/>
      <c r="I315" s="34">
        <f>((D313/1000)+(2*H313/1000))*3.14*E315</f>
        <v>1.66</v>
      </c>
      <c r="J315" s="88"/>
      <c r="K315" s="86"/>
      <c r="L315" s="86"/>
      <c r="M315" s="37"/>
      <c r="N315" s="37"/>
      <c r="O315" s="88"/>
      <c r="P315" s="86"/>
      <c r="Q315" s="41"/>
      <c r="R315" s="20"/>
      <c r="S315" s="20"/>
      <c r="T315" s="21"/>
      <c r="U315" s="20"/>
    </row>
    <row r="316" spans="1:21" s="14" customFormat="1" ht="40.5" hidden="1" customHeight="1" x14ac:dyDescent="0.2">
      <c r="A316" s="525"/>
      <c r="B316" s="327" t="s">
        <v>87</v>
      </c>
      <c r="C316" s="89"/>
      <c r="D316" s="497" t="s">
        <v>52</v>
      </c>
      <c r="E316" s="498"/>
      <c r="F316" s="234" t="s">
        <v>50</v>
      </c>
      <c r="G316" s="88"/>
      <c r="H316" s="88"/>
      <c r="I316" s="34"/>
      <c r="J316" s="90">
        <f>J317</f>
        <v>0.2</v>
      </c>
      <c r="K316" s="86"/>
      <c r="L316" s="86"/>
      <c r="M316" s="37"/>
      <c r="N316" s="37"/>
      <c r="O316" s="88"/>
      <c r="P316" s="86"/>
      <c r="Q316" s="41"/>
      <c r="R316" s="20"/>
      <c r="S316" s="20"/>
      <c r="T316" s="21"/>
      <c r="U316" s="20"/>
    </row>
    <row r="317" spans="1:21" s="14" customFormat="1" ht="39" hidden="1" customHeight="1" x14ac:dyDescent="0.2">
      <c r="A317" s="525"/>
      <c r="B317" s="430" t="s">
        <v>80</v>
      </c>
      <c r="C317" s="424"/>
      <c r="D317" s="534" t="s">
        <v>52</v>
      </c>
      <c r="E317" s="535"/>
      <c r="F317" s="404" t="s">
        <v>50</v>
      </c>
      <c r="G317" s="417" t="s">
        <v>213</v>
      </c>
      <c r="H317" s="440"/>
      <c r="I317" s="444"/>
      <c r="J317" s="520">
        <f>((D313/1000)+(H313/1000))*(H313/1000)*3.14*E313</f>
        <v>0.2</v>
      </c>
      <c r="K317" s="56" t="s">
        <v>150</v>
      </c>
      <c r="L317" s="40">
        <v>1.24</v>
      </c>
      <c r="M317" s="227" t="s">
        <v>201</v>
      </c>
      <c r="N317" s="88" t="s">
        <v>135</v>
      </c>
      <c r="O317" s="36">
        <f>J317*L317</f>
        <v>0.248</v>
      </c>
      <c r="P317" s="274" t="s">
        <v>65</v>
      </c>
      <c r="Q317" s="58"/>
      <c r="R317" s="20"/>
      <c r="S317" s="20"/>
      <c r="T317" s="21"/>
      <c r="U317" s="20"/>
    </row>
    <row r="318" spans="1:21" s="14" customFormat="1" ht="21" hidden="1" customHeight="1" x14ac:dyDescent="0.2">
      <c r="A318" s="525"/>
      <c r="B318" s="430"/>
      <c r="C318" s="425"/>
      <c r="D318" s="536"/>
      <c r="E318" s="537"/>
      <c r="F318" s="406"/>
      <c r="G318" s="418"/>
      <c r="H318" s="441"/>
      <c r="I318" s="445"/>
      <c r="J318" s="521"/>
      <c r="K318" s="54" t="s">
        <v>107</v>
      </c>
      <c r="L318" s="86">
        <f>2.9/1000</f>
        <v>2.8999999999999998E-3</v>
      </c>
      <c r="M318" s="226" t="s">
        <v>200</v>
      </c>
      <c r="N318" s="88" t="s">
        <v>36</v>
      </c>
      <c r="O318" s="38">
        <f>J317*L318</f>
        <v>5.9999999999999995E-4</v>
      </c>
      <c r="P318" s="304" t="s">
        <v>65</v>
      </c>
      <c r="R318" s="20"/>
      <c r="S318" s="20"/>
      <c r="T318" s="21"/>
      <c r="U318" s="20"/>
    </row>
    <row r="319" spans="1:21" s="14" customFormat="1" ht="29.25" hidden="1" customHeight="1" x14ac:dyDescent="0.2">
      <c r="A319" s="525"/>
      <c r="B319" s="430" t="s">
        <v>42</v>
      </c>
      <c r="C319" s="424"/>
      <c r="D319" s="404" t="s">
        <v>58</v>
      </c>
      <c r="E319" s="440">
        <v>9</v>
      </c>
      <c r="F319" s="417" t="s">
        <v>213</v>
      </c>
      <c r="G319" s="440"/>
      <c r="H319" s="440"/>
      <c r="I319" s="444">
        <f>I314</f>
        <v>21.55</v>
      </c>
      <c r="J319" s="440"/>
      <c r="K319" s="57" t="s">
        <v>89</v>
      </c>
      <c r="L319" s="49">
        <f>4.6/1000</f>
        <v>4.5999999999999999E-3</v>
      </c>
      <c r="M319" s="225" t="s">
        <v>199</v>
      </c>
      <c r="N319" s="88" t="s">
        <v>36</v>
      </c>
      <c r="O319" s="36">
        <f>I319*L319</f>
        <v>9.9000000000000005E-2</v>
      </c>
      <c r="P319" s="304" t="s">
        <v>65</v>
      </c>
      <c r="R319" s="20"/>
      <c r="S319" s="20"/>
      <c r="T319" s="21"/>
      <c r="U319" s="20"/>
    </row>
    <row r="320" spans="1:21" s="14" customFormat="1" ht="19.5" hidden="1" customHeight="1" x14ac:dyDescent="0.2">
      <c r="A320" s="525"/>
      <c r="B320" s="432"/>
      <c r="C320" s="425"/>
      <c r="D320" s="406"/>
      <c r="E320" s="441"/>
      <c r="F320" s="418"/>
      <c r="G320" s="441"/>
      <c r="H320" s="441"/>
      <c r="I320" s="445"/>
      <c r="J320" s="441"/>
      <c r="K320" s="54" t="s">
        <v>90</v>
      </c>
      <c r="L320" s="86">
        <f>0.015/1000</f>
        <v>1.5E-5</v>
      </c>
      <c r="M320" s="225" t="s">
        <v>198</v>
      </c>
      <c r="N320" s="88" t="s">
        <v>36</v>
      </c>
      <c r="O320" s="38">
        <f>I319*L320</f>
        <v>2.9999999999999997E-4</v>
      </c>
      <c r="P320" s="304" t="s">
        <v>65</v>
      </c>
      <c r="R320" s="20"/>
      <c r="S320" s="20"/>
      <c r="T320" s="21"/>
      <c r="U320" s="20"/>
    </row>
    <row r="321" spans="1:21" s="14" customFormat="1" ht="24.75" hidden="1" customHeight="1" x14ac:dyDescent="0.2">
      <c r="A321" s="525"/>
      <c r="B321" s="430" t="s">
        <v>43</v>
      </c>
      <c r="C321" s="424"/>
      <c r="D321" s="404" t="s">
        <v>58</v>
      </c>
      <c r="E321" s="440">
        <v>3</v>
      </c>
      <c r="F321" s="417" t="s">
        <v>213</v>
      </c>
      <c r="G321" s="440"/>
      <c r="H321" s="440"/>
      <c r="I321" s="444">
        <f>I315</f>
        <v>1.66</v>
      </c>
      <c r="J321" s="440"/>
      <c r="K321" s="57" t="s">
        <v>138</v>
      </c>
      <c r="L321" s="49">
        <f>4.9/1000</f>
        <v>4.8999999999999998E-3</v>
      </c>
      <c r="M321" s="225" t="s">
        <v>199</v>
      </c>
      <c r="N321" s="88" t="s">
        <v>36</v>
      </c>
      <c r="O321" s="36">
        <f>I321*L321</f>
        <v>8.0000000000000002E-3</v>
      </c>
      <c r="P321" s="304" t="s">
        <v>65</v>
      </c>
      <c r="R321" s="20"/>
      <c r="S321" s="20"/>
      <c r="T321" s="21"/>
      <c r="U321" s="20"/>
    </row>
    <row r="322" spans="1:21" s="14" customFormat="1" ht="19.5" hidden="1" customHeight="1" x14ac:dyDescent="0.2">
      <c r="A322" s="525"/>
      <c r="B322" s="430"/>
      <c r="C322" s="425"/>
      <c r="D322" s="406"/>
      <c r="E322" s="441"/>
      <c r="F322" s="418"/>
      <c r="G322" s="441"/>
      <c r="H322" s="441"/>
      <c r="I322" s="445"/>
      <c r="J322" s="441"/>
      <c r="K322" s="54" t="s">
        <v>139</v>
      </c>
      <c r="L322" s="86">
        <f>0.02/1000</f>
        <v>2.0000000000000002E-5</v>
      </c>
      <c r="M322" s="225" t="s">
        <v>198</v>
      </c>
      <c r="N322" s="88" t="s">
        <v>36</v>
      </c>
      <c r="O322" s="55">
        <f>+I321*L322</f>
        <v>3.0000000000000001E-5</v>
      </c>
      <c r="P322" s="304" t="s">
        <v>65</v>
      </c>
      <c r="R322" s="20"/>
      <c r="S322" s="20"/>
      <c r="T322" s="21"/>
      <c r="U322" s="20"/>
    </row>
    <row r="323" spans="1:21" s="14" customFormat="1" ht="24.75" hidden="1" customHeight="1" x14ac:dyDescent="0.2">
      <c r="A323" s="515">
        <v>39</v>
      </c>
      <c r="B323" s="116" t="s">
        <v>269</v>
      </c>
      <c r="C323" s="74">
        <v>250</v>
      </c>
      <c r="D323" s="74">
        <v>32</v>
      </c>
      <c r="E323" s="250">
        <v>20</v>
      </c>
      <c r="F323" s="95"/>
      <c r="G323" s="95"/>
      <c r="H323" s="74">
        <v>50</v>
      </c>
      <c r="I323" s="88"/>
      <c r="J323" s="88"/>
      <c r="K323" s="88"/>
      <c r="L323" s="88"/>
      <c r="M323" s="77"/>
      <c r="N323" s="88"/>
      <c r="O323" s="34"/>
      <c r="P323" s="32"/>
      <c r="Q323" s="24"/>
      <c r="R323" s="20"/>
      <c r="S323" s="20"/>
      <c r="T323" s="21"/>
      <c r="U323" s="20"/>
    </row>
    <row r="324" spans="1:21" s="14" customFormat="1" ht="24" hidden="1" customHeight="1" x14ac:dyDescent="0.2">
      <c r="A324" s="516"/>
      <c r="B324" s="117" t="s">
        <v>91</v>
      </c>
      <c r="C324" s="88"/>
      <c r="D324" s="88"/>
      <c r="E324" s="88"/>
      <c r="F324" s="95"/>
      <c r="G324" s="95"/>
      <c r="H324" s="88"/>
      <c r="I324" s="34">
        <f>I328</f>
        <v>9.1199999999999992</v>
      </c>
      <c r="J324" s="88"/>
      <c r="K324" s="88"/>
      <c r="L324" s="88"/>
      <c r="M324" s="77"/>
      <c r="N324" s="88"/>
      <c r="O324" s="34"/>
      <c r="P324" s="32"/>
      <c r="Q324" s="24"/>
      <c r="R324" s="20"/>
      <c r="S324" s="20"/>
      <c r="T324" s="21"/>
      <c r="U324" s="20"/>
    </row>
    <row r="325" spans="1:21" s="14" customFormat="1" ht="25.5" hidden="1" x14ac:dyDescent="0.2">
      <c r="A325" s="516"/>
      <c r="B325" s="327" t="s">
        <v>92</v>
      </c>
      <c r="C325" s="88"/>
      <c r="D325" s="474" t="s">
        <v>52</v>
      </c>
      <c r="E325" s="474"/>
      <c r="F325" s="234" t="s">
        <v>179</v>
      </c>
      <c r="G325" s="95"/>
      <c r="H325" s="88"/>
      <c r="I325" s="88"/>
      <c r="J325" s="34">
        <f>J326</f>
        <v>0.26</v>
      </c>
      <c r="K325" s="88"/>
      <c r="L325" s="88"/>
      <c r="M325" s="77"/>
      <c r="N325" s="88"/>
      <c r="O325" s="34"/>
      <c r="P325" s="32"/>
      <c r="Q325" s="24"/>
      <c r="R325" s="20"/>
      <c r="S325" s="20"/>
      <c r="T325" s="21"/>
      <c r="U325" s="20"/>
    </row>
    <row r="326" spans="1:21" s="14" customFormat="1" ht="22.5" hidden="1" customHeight="1" x14ac:dyDescent="0.2">
      <c r="A326" s="516"/>
      <c r="B326" s="423" t="s">
        <v>93</v>
      </c>
      <c r="C326" s="433"/>
      <c r="D326" s="474" t="s">
        <v>52</v>
      </c>
      <c r="E326" s="474"/>
      <c r="F326" s="518" t="s">
        <v>72</v>
      </c>
      <c r="G326" s="409" t="s">
        <v>40</v>
      </c>
      <c r="H326" s="433"/>
      <c r="I326" s="409"/>
      <c r="J326" s="452">
        <f>((D323/1000)+(H323/1000))*(H323/1000)*3.14*E323</f>
        <v>0.26</v>
      </c>
      <c r="K326" s="179" t="s">
        <v>95</v>
      </c>
      <c r="L326" s="90">
        <v>525</v>
      </c>
      <c r="M326" s="77" t="s">
        <v>73</v>
      </c>
      <c r="N326" s="88" t="s">
        <v>31</v>
      </c>
      <c r="O326" s="34">
        <f>J326*L326</f>
        <v>136.5</v>
      </c>
      <c r="P326" s="32" t="s">
        <v>65</v>
      </c>
      <c r="R326" s="20"/>
      <c r="S326" s="20"/>
      <c r="T326" s="21"/>
      <c r="U326" s="20"/>
    </row>
    <row r="327" spans="1:21" s="14" customFormat="1" ht="20.25" hidden="1" customHeight="1" x14ac:dyDescent="0.2">
      <c r="A327" s="516"/>
      <c r="B327" s="423"/>
      <c r="C327" s="433"/>
      <c r="D327" s="474"/>
      <c r="E327" s="474"/>
      <c r="F327" s="518"/>
      <c r="G327" s="409"/>
      <c r="H327" s="433"/>
      <c r="I327" s="409"/>
      <c r="J327" s="452"/>
      <c r="K327" s="179" t="s">
        <v>96</v>
      </c>
      <c r="L327" s="88">
        <f>0.4/1000</f>
        <v>4.0000000000000002E-4</v>
      </c>
      <c r="M327" s="226" t="s">
        <v>200</v>
      </c>
      <c r="N327" s="88" t="s">
        <v>36</v>
      </c>
      <c r="O327" s="38">
        <f>J326*L327</f>
        <v>1E-4</v>
      </c>
      <c r="P327" s="32" t="s">
        <v>65</v>
      </c>
      <c r="R327" s="20"/>
      <c r="S327" s="20"/>
      <c r="T327" s="21"/>
      <c r="U327" s="20"/>
    </row>
    <row r="328" spans="1:21" s="14" customFormat="1" ht="24" hidden="1" x14ac:dyDescent="0.2">
      <c r="A328" s="516"/>
      <c r="B328" s="448" t="s">
        <v>94</v>
      </c>
      <c r="C328" s="433"/>
      <c r="D328" s="433"/>
      <c r="E328" s="433"/>
      <c r="F328" s="439" t="s">
        <v>40</v>
      </c>
      <c r="G328" s="433"/>
      <c r="H328" s="433"/>
      <c r="I328" s="452">
        <f>3.14*(D323/1000+2*H323/1000)*1.1*E323</f>
        <v>9.1199999999999992</v>
      </c>
      <c r="J328" s="433"/>
      <c r="K328" s="32" t="s">
        <v>97</v>
      </c>
      <c r="L328" s="88">
        <v>1.05</v>
      </c>
      <c r="M328" s="225" t="s">
        <v>202</v>
      </c>
      <c r="N328" s="88" t="s">
        <v>136</v>
      </c>
      <c r="O328" s="36">
        <f>I328*L328</f>
        <v>9.5760000000000005</v>
      </c>
      <c r="P328" s="32" t="s">
        <v>65</v>
      </c>
      <c r="R328" s="20"/>
      <c r="S328" s="20"/>
      <c r="T328" s="21"/>
      <c r="U328" s="20"/>
    </row>
    <row r="329" spans="1:21" s="14" customFormat="1" ht="18" hidden="1" customHeight="1" x14ac:dyDescent="0.2">
      <c r="A329" s="533"/>
      <c r="B329" s="448"/>
      <c r="C329" s="433"/>
      <c r="D329" s="433"/>
      <c r="E329" s="433"/>
      <c r="F329" s="439"/>
      <c r="G329" s="433"/>
      <c r="H329" s="433"/>
      <c r="I329" s="452"/>
      <c r="J329" s="433"/>
      <c r="K329" s="88" t="s">
        <v>98</v>
      </c>
      <c r="L329" s="88">
        <f>0.0304/1000</f>
        <v>3.04E-5</v>
      </c>
      <c r="M329" s="226" t="s">
        <v>200</v>
      </c>
      <c r="N329" s="88" t="s">
        <v>36</v>
      </c>
      <c r="O329" s="38">
        <f>I328*L329</f>
        <v>2.9999999999999997E-4</v>
      </c>
      <c r="P329" s="32" t="s">
        <v>65</v>
      </c>
      <c r="R329" s="20"/>
      <c r="S329" s="20"/>
      <c r="T329" s="21"/>
      <c r="U329" s="20"/>
    </row>
    <row r="330" spans="1:21" s="14" customFormat="1" ht="27.75" hidden="1" customHeight="1" x14ac:dyDescent="0.2">
      <c r="A330" s="482">
        <v>40</v>
      </c>
      <c r="B330" s="292" t="s">
        <v>270</v>
      </c>
      <c r="C330" s="100" t="s">
        <v>62</v>
      </c>
      <c r="D330" s="102">
        <v>273</v>
      </c>
      <c r="E330" s="88">
        <f>E336+E338</f>
        <v>5</v>
      </c>
      <c r="F330" s="102"/>
      <c r="G330" s="102"/>
      <c r="H330" s="88">
        <v>140</v>
      </c>
      <c r="I330" s="102"/>
      <c r="J330" s="102"/>
      <c r="K330" s="102"/>
      <c r="L330" s="102"/>
      <c r="M330" s="117"/>
      <c r="N330" s="102"/>
      <c r="O330" s="102"/>
      <c r="P330" s="118"/>
      <c r="R330" s="20"/>
      <c r="S330" s="20"/>
      <c r="T330" s="21"/>
      <c r="U330" s="20"/>
    </row>
    <row r="331" spans="1:21" s="14" customFormat="1" ht="28.5" hidden="1" customHeight="1" x14ac:dyDescent="0.2">
      <c r="A331" s="482"/>
      <c r="B331" s="323" t="s">
        <v>38</v>
      </c>
      <c r="C331" s="100"/>
      <c r="D331" s="149" t="s">
        <v>58</v>
      </c>
      <c r="E331" s="75">
        <v>3</v>
      </c>
      <c r="F331" s="102"/>
      <c r="G331" s="102"/>
      <c r="H331" s="102"/>
      <c r="I331" s="119">
        <f>((D330/1000)+(2*H330/1000))*3.14*E331</f>
        <v>5</v>
      </c>
      <c r="J331" s="102"/>
      <c r="K331" s="102"/>
      <c r="L331" s="102"/>
      <c r="M331" s="117"/>
      <c r="N331" s="102"/>
      <c r="O331" s="102"/>
      <c r="P331" s="118"/>
      <c r="R331" s="20"/>
      <c r="S331" s="20"/>
      <c r="T331" s="21"/>
      <c r="U331" s="20"/>
    </row>
    <row r="332" spans="1:21" s="14" customFormat="1" ht="29.25" hidden="1" customHeight="1" x14ac:dyDescent="0.2">
      <c r="A332" s="482"/>
      <c r="B332" s="323" t="s">
        <v>41</v>
      </c>
      <c r="C332" s="100"/>
      <c r="D332" s="149" t="s">
        <v>58</v>
      </c>
      <c r="E332" s="75">
        <v>2</v>
      </c>
      <c r="F332" s="102"/>
      <c r="G332" s="102"/>
      <c r="H332" s="102"/>
      <c r="I332" s="119">
        <f>((D330/1000)+(2*H330/1000))*3.14*E332</f>
        <v>3</v>
      </c>
      <c r="J332" s="102"/>
      <c r="K332" s="102"/>
      <c r="L332" s="102"/>
      <c r="M332" s="117"/>
      <c r="N332" s="102"/>
      <c r="O332" s="102"/>
      <c r="P332" s="118"/>
      <c r="R332" s="20"/>
      <c r="S332" s="20"/>
      <c r="T332" s="21"/>
      <c r="U332" s="20"/>
    </row>
    <row r="333" spans="1:21" s="14" customFormat="1" ht="23.25" hidden="1" customHeight="1" x14ac:dyDescent="0.2">
      <c r="A333" s="482"/>
      <c r="B333" s="327" t="s">
        <v>87</v>
      </c>
      <c r="C333" s="100"/>
      <c r="D333" s="448" t="s">
        <v>52</v>
      </c>
      <c r="E333" s="448"/>
      <c r="F333" s="118" t="s">
        <v>50</v>
      </c>
      <c r="G333" s="102"/>
      <c r="H333" s="102"/>
      <c r="I333" s="119"/>
      <c r="J333" s="97">
        <f>J334</f>
        <v>0.9</v>
      </c>
      <c r="K333" s="102"/>
      <c r="L333" s="102"/>
      <c r="M333" s="117"/>
      <c r="N333" s="102"/>
      <c r="O333" s="102"/>
      <c r="P333" s="118"/>
      <c r="R333" s="20"/>
      <c r="S333" s="20"/>
      <c r="T333" s="21"/>
      <c r="U333" s="20"/>
    </row>
    <row r="334" spans="1:21" s="14" customFormat="1" ht="23.25" hidden="1" customHeight="1" x14ac:dyDescent="0.2">
      <c r="A334" s="482"/>
      <c r="B334" s="430" t="s">
        <v>88</v>
      </c>
      <c r="C334" s="431"/>
      <c r="D334" s="449" t="s">
        <v>52</v>
      </c>
      <c r="E334" s="449"/>
      <c r="F334" s="475" t="s">
        <v>50</v>
      </c>
      <c r="G334" s="417" t="s">
        <v>213</v>
      </c>
      <c r="H334" s="450"/>
      <c r="I334" s="450"/>
      <c r="J334" s="464">
        <f>((D330/1000)+(H330/1000))*(H330/1000)*3.14*E330</f>
        <v>0.9</v>
      </c>
      <c r="K334" s="73" t="s">
        <v>106</v>
      </c>
      <c r="L334" s="34">
        <v>1.24</v>
      </c>
      <c r="M334" s="227" t="s">
        <v>201</v>
      </c>
      <c r="N334" s="102" t="s">
        <v>135</v>
      </c>
      <c r="O334" s="120">
        <f>J334*L334</f>
        <v>1.1160000000000001</v>
      </c>
      <c r="P334" s="32" t="s">
        <v>65</v>
      </c>
      <c r="R334" s="20"/>
      <c r="S334" s="20"/>
      <c r="T334" s="21"/>
      <c r="U334" s="20"/>
    </row>
    <row r="335" spans="1:21" s="14" customFormat="1" ht="23.25" hidden="1" customHeight="1" x14ac:dyDescent="0.2">
      <c r="A335" s="482"/>
      <c r="B335" s="430"/>
      <c r="C335" s="431"/>
      <c r="D335" s="449"/>
      <c r="E335" s="449"/>
      <c r="F335" s="476"/>
      <c r="G335" s="418"/>
      <c r="H335" s="451"/>
      <c r="I335" s="451"/>
      <c r="J335" s="465"/>
      <c r="K335" s="32" t="s">
        <v>107</v>
      </c>
      <c r="L335" s="88">
        <f>2.9/1000</f>
        <v>2.8999999999999998E-3</v>
      </c>
      <c r="M335" s="226" t="s">
        <v>200</v>
      </c>
      <c r="N335" s="102" t="s">
        <v>36</v>
      </c>
      <c r="O335" s="121">
        <f>J334*L335</f>
        <v>2.5999999999999999E-3</v>
      </c>
      <c r="P335" s="32" t="s">
        <v>65</v>
      </c>
      <c r="R335" s="20"/>
      <c r="S335" s="20"/>
      <c r="T335" s="21"/>
      <c r="U335" s="20"/>
    </row>
    <row r="336" spans="1:21" s="14" customFormat="1" ht="23.25" hidden="1" customHeight="1" x14ac:dyDescent="0.2">
      <c r="A336" s="482"/>
      <c r="B336" s="430" t="s">
        <v>42</v>
      </c>
      <c r="C336" s="431"/>
      <c r="D336" s="475" t="s">
        <v>58</v>
      </c>
      <c r="E336" s="413">
        <v>3</v>
      </c>
      <c r="F336" s="417" t="s">
        <v>213</v>
      </c>
      <c r="G336" s="450"/>
      <c r="H336" s="450"/>
      <c r="I336" s="457">
        <f>I331</f>
        <v>5</v>
      </c>
      <c r="J336" s="450"/>
      <c r="K336" s="32" t="s">
        <v>89</v>
      </c>
      <c r="L336" s="88">
        <f>4.6/1000</f>
        <v>4.5999999999999999E-3</v>
      </c>
      <c r="M336" s="225" t="s">
        <v>199</v>
      </c>
      <c r="N336" s="102" t="s">
        <v>36</v>
      </c>
      <c r="O336" s="120">
        <f>I336*L336</f>
        <v>2.3E-2</v>
      </c>
      <c r="P336" s="32" t="s">
        <v>65</v>
      </c>
      <c r="R336" s="20"/>
      <c r="S336" s="20"/>
      <c r="T336" s="21"/>
      <c r="U336" s="20"/>
    </row>
    <row r="337" spans="1:21" s="14" customFormat="1" ht="23.25" hidden="1" customHeight="1" x14ac:dyDescent="0.2">
      <c r="A337" s="482"/>
      <c r="B337" s="483"/>
      <c r="C337" s="431"/>
      <c r="D337" s="476"/>
      <c r="E337" s="414"/>
      <c r="F337" s="418"/>
      <c r="G337" s="451"/>
      <c r="H337" s="451"/>
      <c r="I337" s="458"/>
      <c r="J337" s="451"/>
      <c r="K337" s="32" t="s">
        <v>108</v>
      </c>
      <c r="L337" s="88">
        <f>0.015/1000</f>
        <v>1.5E-5</v>
      </c>
      <c r="M337" s="225" t="s">
        <v>198</v>
      </c>
      <c r="N337" s="102" t="s">
        <v>36</v>
      </c>
      <c r="O337" s="121">
        <f>I336*L337</f>
        <v>1E-4</v>
      </c>
      <c r="P337" s="32" t="s">
        <v>65</v>
      </c>
      <c r="R337" s="20"/>
      <c r="S337" s="20"/>
      <c r="T337" s="21"/>
      <c r="U337" s="20"/>
    </row>
    <row r="338" spans="1:21" s="14" customFormat="1" ht="23.25" hidden="1" customHeight="1" x14ac:dyDescent="0.2">
      <c r="A338" s="482"/>
      <c r="B338" s="430" t="s">
        <v>43</v>
      </c>
      <c r="C338" s="450"/>
      <c r="D338" s="475" t="s">
        <v>58</v>
      </c>
      <c r="E338" s="413">
        <v>2</v>
      </c>
      <c r="F338" s="417" t="s">
        <v>213</v>
      </c>
      <c r="G338" s="450"/>
      <c r="H338" s="450"/>
      <c r="I338" s="457">
        <f>I332</f>
        <v>3</v>
      </c>
      <c r="J338" s="450"/>
      <c r="K338" s="32" t="s">
        <v>109</v>
      </c>
      <c r="L338" s="88">
        <f>4.9/1000</f>
        <v>4.8999999999999998E-3</v>
      </c>
      <c r="M338" s="225" t="s">
        <v>199</v>
      </c>
      <c r="N338" s="102" t="s">
        <v>36</v>
      </c>
      <c r="O338" s="120">
        <f>I338*L338</f>
        <v>1.4999999999999999E-2</v>
      </c>
      <c r="P338" s="32" t="s">
        <v>65</v>
      </c>
      <c r="R338" s="20"/>
      <c r="S338" s="20"/>
      <c r="T338" s="21"/>
      <c r="U338" s="20"/>
    </row>
    <row r="339" spans="1:21" s="14" customFormat="1" ht="19.5" hidden="1" customHeight="1" x14ac:dyDescent="0.2">
      <c r="A339" s="482"/>
      <c r="B339" s="430"/>
      <c r="C339" s="451"/>
      <c r="D339" s="476"/>
      <c r="E339" s="414"/>
      <c r="F339" s="418"/>
      <c r="G339" s="451"/>
      <c r="H339" s="451"/>
      <c r="I339" s="458"/>
      <c r="J339" s="451"/>
      <c r="K339" s="32" t="s">
        <v>110</v>
      </c>
      <c r="L339" s="88">
        <f>0.02/1000</f>
        <v>2.0000000000000002E-5</v>
      </c>
      <c r="M339" s="225" t="s">
        <v>198</v>
      </c>
      <c r="N339" s="102" t="s">
        <v>36</v>
      </c>
      <c r="O339" s="121">
        <f>I338*L339</f>
        <v>1E-4</v>
      </c>
      <c r="P339" s="32" t="s">
        <v>65</v>
      </c>
      <c r="R339" s="20"/>
      <c r="S339" s="20"/>
      <c r="T339" s="21"/>
      <c r="U339" s="20"/>
    </row>
    <row r="340" spans="1:21" s="14" customFormat="1" ht="26.25" hidden="1" customHeight="1" x14ac:dyDescent="0.2">
      <c r="A340" s="482">
        <v>41</v>
      </c>
      <c r="B340" s="292" t="s">
        <v>235</v>
      </c>
      <c r="C340" s="100" t="s">
        <v>62</v>
      </c>
      <c r="D340" s="102">
        <v>133</v>
      </c>
      <c r="E340" s="201">
        <f>E346+E348</f>
        <v>5</v>
      </c>
      <c r="F340" s="102"/>
      <c r="G340" s="102"/>
      <c r="H340" s="88">
        <v>140</v>
      </c>
      <c r="I340" s="102"/>
      <c r="J340" s="102"/>
      <c r="K340" s="102"/>
      <c r="L340" s="102"/>
      <c r="M340" s="117"/>
      <c r="N340" s="102"/>
      <c r="O340" s="102"/>
      <c r="P340" s="118"/>
      <c r="R340" s="20"/>
      <c r="S340" s="20"/>
      <c r="T340" s="21"/>
      <c r="U340" s="20"/>
    </row>
    <row r="341" spans="1:21" s="14" customFormat="1" ht="33.75" hidden="1" customHeight="1" x14ac:dyDescent="0.2">
      <c r="A341" s="482"/>
      <c r="B341" s="323" t="s">
        <v>38</v>
      </c>
      <c r="C341" s="100"/>
      <c r="D341" s="149" t="s">
        <v>58</v>
      </c>
      <c r="E341" s="75">
        <v>3</v>
      </c>
      <c r="F341" s="102"/>
      <c r="G341" s="102"/>
      <c r="H341" s="102"/>
      <c r="I341" s="119">
        <f>((D340/1000)+(2*H340/1000))*3.14*E341</f>
        <v>4</v>
      </c>
      <c r="J341" s="102"/>
      <c r="K341" s="102"/>
      <c r="L341" s="102"/>
      <c r="M341" s="117"/>
      <c r="N341" s="102"/>
      <c r="O341" s="102"/>
      <c r="P341" s="118"/>
      <c r="R341" s="20"/>
      <c r="S341" s="20"/>
      <c r="T341" s="21"/>
      <c r="U341" s="20"/>
    </row>
    <row r="342" spans="1:21" s="14" customFormat="1" ht="35.25" hidden="1" customHeight="1" x14ac:dyDescent="0.2">
      <c r="A342" s="482"/>
      <c r="B342" s="323" t="s">
        <v>41</v>
      </c>
      <c r="C342" s="100"/>
      <c r="D342" s="149" t="s">
        <v>58</v>
      </c>
      <c r="E342" s="75">
        <v>2</v>
      </c>
      <c r="F342" s="102"/>
      <c r="G342" s="102"/>
      <c r="H342" s="102"/>
      <c r="I342" s="119">
        <f>((D340/1000)+(2*H340/1000))*3.14*E342</f>
        <v>3</v>
      </c>
      <c r="J342" s="102"/>
      <c r="K342" s="102"/>
      <c r="L342" s="102"/>
      <c r="M342" s="117"/>
      <c r="N342" s="102"/>
      <c r="O342" s="102"/>
      <c r="P342" s="118"/>
      <c r="R342" s="20"/>
      <c r="S342" s="20"/>
      <c r="T342" s="21"/>
      <c r="U342" s="20"/>
    </row>
    <row r="343" spans="1:21" s="14" customFormat="1" ht="39" hidden="1" customHeight="1" x14ac:dyDescent="0.2">
      <c r="A343" s="482"/>
      <c r="B343" s="327" t="s">
        <v>87</v>
      </c>
      <c r="C343" s="100"/>
      <c r="D343" s="448" t="s">
        <v>52</v>
      </c>
      <c r="E343" s="448"/>
      <c r="F343" s="118" t="s">
        <v>50</v>
      </c>
      <c r="G343" s="102"/>
      <c r="H343" s="102"/>
      <c r="I343" s="119"/>
      <c r="J343" s="97">
        <f>J344</f>
        <v>0.6</v>
      </c>
      <c r="K343" s="102"/>
      <c r="L343" s="102"/>
      <c r="M343" s="117"/>
      <c r="N343" s="102"/>
      <c r="O343" s="102"/>
      <c r="P343" s="118"/>
      <c r="R343" s="20"/>
      <c r="S343" s="20"/>
      <c r="T343" s="21"/>
      <c r="U343" s="20"/>
    </row>
    <row r="344" spans="1:21" s="14" customFormat="1" ht="39.75" hidden="1" customHeight="1" x14ac:dyDescent="0.2">
      <c r="A344" s="482"/>
      <c r="B344" s="430" t="s">
        <v>88</v>
      </c>
      <c r="C344" s="431"/>
      <c r="D344" s="449" t="s">
        <v>52</v>
      </c>
      <c r="E344" s="449"/>
      <c r="F344" s="413" t="s">
        <v>50</v>
      </c>
      <c r="G344" s="417" t="s">
        <v>213</v>
      </c>
      <c r="H344" s="450"/>
      <c r="I344" s="450"/>
      <c r="J344" s="464">
        <f>((D340/1000)+(H340/1000))*(H340/1000)*3.14*E340</f>
        <v>0.6</v>
      </c>
      <c r="K344" s="73" t="s">
        <v>106</v>
      </c>
      <c r="L344" s="34">
        <v>1.24</v>
      </c>
      <c r="M344" s="227" t="s">
        <v>201</v>
      </c>
      <c r="N344" s="102" t="s">
        <v>135</v>
      </c>
      <c r="O344" s="120">
        <f>J344*L344</f>
        <v>0.74399999999999999</v>
      </c>
      <c r="P344" s="32" t="s">
        <v>65</v>
      </c>
      <c r="R344" s="20"/>
      <c r="S344" s="20"/>
      <c r="T344" s="21"/>
      <c r="U344" s="20"/>
    </row>
    <row r="345" spans="1:21" s="14" customFormat="1" ht="23.25" hidden="1" customHeight="1" x14ac:dyDescent="0.2">
      <c r="A345" s="482"/>
      <c r="B345" s="430"/>
      <c r="C345" s="431"/>
      <c r="D345" s="449"/>
      <c r="E345" s="449"/>
      <c r="F345" s="414"/>
      <c r="G345" s="418"/>
      <c r="H345" s="451"/>
      <c r="I345" s="451"/>
      <c r="J345" s="465"/>
      <c r="K345" s="32" t="s">
        <v>107</v>
      </c>
      <c r="L345" s="88">
        <f>2.9/1000</f>
        <v>2.8999999999999998E-3</v>
      </c>
      <c r="M345" s="226" t="s">
        <v>200</v>
      </c>
      <c r="N345" s="102" t="s">
        <v>36</v>
      </c>
      <c r="O345" s="121">
        <f>J344*L345</f>
        <v>1.6999999999999999E-3</v>
      </c>
      <c r="P345" s="32" t="s">
        <v>65</v>
      </c>
      <c r="R345" s="20"/>
      <c r="S345" s="20"/>
      <c r="T345" s="21"/>
      <c r="U345" s="20"/>
    </row>
    <row r="346" spans="1:21" s="14" customFormat="1" ht="23.25" hidden="1" customHeight="1" x14ac:dyDescent="0.2">
      <c r="A346" s="482"/>
      <c r="B346" s="430" t="s">
        <v>42</v>
      </c>
      <c r="C346" s="431"/>
      <c r="D346" s="475" t="s">
        <v>58</v>
      </c>
      <c r="E346" s="413">
        <v>3</v>
      </c>
      <c r="F346" s="417" t="s">
        <v>213</v>
      </c>
      <c r="G346" s="450"/>
      <c r="H346" s="450"/>
      <c r="I346" s="457">
        <f>I341</f>
        <v>4</v>
      </c>
      <c r="J346" s="450"/>
      <c r="K346" s="32" t="s">
        <v>89</v>
      </c>
      <c r="L346" s="88">
        <f>4.6/1000</f>
        <v>4.5999999999999999E-3</v>
      </c>
      <c r="M346" s="225" t="s">
        <v>199</v>
      </c>
      <c r="N346" s="102" t="s">
        <v>36</v>
      </c>
      <c r="O346" s="120">
        <f>I346*L346</f>
        <v>1.7999999999999999E-2</v>
      </c>
      <c r="P346" s="32" t="s">
        <v>65</v>
      </c>
      <c r="R346" s="20"/>
      <c r="S346" s="20"/>
      <c r="T346" s="21"/>
      <c r="U346" s="20"/>
    </row>
    <row r="347" spans="1:21" s="14" customFormat="1" ht="23.25" hidden="1" customHeight="1" x14ac:dyDescent="0.2">
      <c r="A347" s="482"/>
      <c r="B347" s="483"/>
      <c r="C347" s="431"/>
      <c r="D347" s="476"/>
      <c r="E347" s="414"/>
      <c r="F347" s="418"/>
      <c r="G347" s="451"/>
      <c r="H347" s="451"/>
      <c r="I347" s="458"/>
      <c r="J347" s="451"/>
      <c r="K347" s="32" t="s">
        <v>108</v>
      </c>
      <c r="L347" s="88">
        <f>0.015/1000</f>
        <v>1.5E-5</v>
      </c>
      <c r="M347" s="225" t="s">
        <v>198</v>
      </c>
      <c r="N347" s="102" t="s">
        <v>36</v>
      </c>
      <c r="O347" s="121">
        <f>I346*L347</f>
        <v>1E-4</v>
      </c>
      <c r="P347" s="32" t="s">
        <v>65</v>
      </c>
      <c r="R347" s="20"/>
      <c r="S347" s="20"/>
      <c r="T347" s="21"/>
      <c r="U347" s="20"/>
    </row>
    <row r="348" spans="1:21" s="14" customFormat="1" ht="23.25" hidden="1" customHeight="1" x14ac:dyDescent="0.2">
      <c r="A348" s="482"/>
      <c r="B348" s="430" t="s">
        <v>43</v>
      </c>
      <c r="C348" s="467"/>
      <c r="D348" s="475" t="s">
        <v>58</v>
      </c>
      <c r="E348" s="413">
        <v>2</v>
      </c>
      <c r="F348" s="417" t="s">
        <v>213</v>
      </c>
      <c r="G348" s="413"/>
      <c r="H348" s="450"/>
      <c r="I348" s="457">
        <f>I342</f>
        <v>3</v>
      </c>
      <c r="J348" s="450"/>
      <c r="K348" s="32" t="s">
        <v>109</v>
      </c>
      <c r="L348" s="88">
        <f>4.9/1000</f>
        <v>4.8999999999999998E-3</v>
      </c>
      <c r="M348" s="225" t="s">
        <v>199</v>
      </c>
      <c r="N348" s="102" t="s">
        <v>36</v>
      </c>
      <c r="O348" s="120">
        <f>I348*L348</f>
        <v>1.4999999999999999E-2</v>
      </c>
      <c r="P348" s="32" t="s">
        <v>65</v>
      </c>
      <c r="R348" s="20"/>
      <c r="S348" s="20"/>
      <c r="T348" s="21"/>
      <c r="U348" s="20"/>
    </row>
    <row r="349" spans="1:21" s="14" customFormat="1" ht="29.25" hidden="1" customHeight="1" x14ac:dyDescent="0.2">
      <c r="A349" s="482"/>
      <c r="B349" s="430"/>
      <c r="C349" s="468"/>
      <c r="D349" s="476"/>
      <c r="E349" s="414"/>
      <c r="F349" s="418"/>
      <c r="G349" s="414"/>
      <c r="H349" s="451"/>
      <c r="I349" s="458"/>
      <c r="J349" s="451"/>
      <c r="K349" s="32" t="s">
        <v>110</v>
      </c>
      <c r="L349" s="88">
        <f>0.02/1000</f>
        <v>2.0000000000000002E-5</v>
      </c>
      <c r="M349" s="225" t="s">
        <v>198</v>
      </c>
      <c r="N349" s="102" t="s">
        <v>36</v>
      </c>
      <c r="O349" s="121">
        <f>I348*L349</f>
        <v>1E-4</v>
      </c>
      <c r="P349" s="32" t="s">
        <v>65</v>
      </c>
      <c r="R349" s="20"/>
      <c r="S349" s="20"/>
      <c r="T349" s="21"/>
      <c r="U349" s="20"/>
    </row>
    <row r="350" spans="1:21" s="14" customFormat="1" ht="29.25" hidden="1" customHeight="1" x14ac:dyDescent="0.2">
      <c r="A350" s="593">
        <v>42</v>
      </c>
      <c r="B350" s="292" t="s">
        <v>271</v>
      </c>
      <c r="C350" s="89" t="s">
        <v>39</v>
      </c>
      <c r="D350" s="88">
        <v>273</v>
      </c>
      <c r="E350" s="88">
        <v>18</v>
      </c>
      <c r="F350" s="88"/>
      <c r="G350" s="88"/>
      <c r="H350" s="88">
        <v>200</v>
      </c>
      <c r="I350" s="88"/>
      <c r="J350" s="88"/>
      <c r="K350" s="88"/>
      <c r="L350" s="88"/>
      <c r="M350" s="77"/>
      <c r="N350" s="88"/>
      <c r="O350" s="34"/>
      <c r="P350" s="32"/>
      <c r="R350" s="20"/>
      <c r="S350" s="20"/>
      <c r="T350" s="21"/>
      <c r="U350" s="20"/>
    </row>
    <row r="351" spans="1:21" s="14" customFormat="1" ht="36.75" hidden="1" customHeight="1" x14ac:dyDescent="0.2">
      <c r="A351" s="594"/>
      <c r="B351" s="327" t="s">
        <v>87</v>
      </c>
      <c r="C351" s="89"/>
      <c r="D351" s="497" t="s">
        <v>52</v>
      </c>
      <c r="E351" s="498"/>
      <c r="F351" s="234" t="s">
        <v>50</v>
      </c>
      <c r="G351" s="88"/>
      <c r="H351" s="88"/>
      <c r="I351" s="88"/>
      <c r="J351" s="90">
        <f>J352</f>
        <v>5.3</v>
      </c>
      <c r="K351" s="88"/>
      <c r="L351" s="88"/>
      <c r="M351" s="77"/>
      <c r="N351" s="88"/>
      <c r="O351" s="34"/>
      <c r="P351" s="32"/>
      <c r="R351" s="20"/>
      <c r="S351" s="20"/>
      <c r="T351" s="21"/>
      <c r="U351" s="20"/>
    </row>
    <row r="352" spans="1:21" s="14" customFormat="1" ht="37.5" hidden="1" customHeight="1" x14ac:dyDescent="0.2">
      <c r="A352" s="594"/>
      <c r="B352" s="430" t="s">
        <v>88</v>
      </c>
      <c r="C352" s="433"/>
      <c r="D352" s="439" t="s">
        <v>52</v>
      </c>
      <c r="E352" s="439"/>
      <c r="F352" s="439" t="s">
        <v>50</v>
      </c>
      <c r="G352" s="409" t="s">
        <v>29</v>
      </c>
      <c r="H352" s="433"/>
      <c r="I352" s="409"/>
      <c r="J352" s="563">
        <f>((D350/1000)+(H350/1000))*(H350/1000)*3.14*E350</f>
        <v>5.3</v>
      </c>
      <c r="K352" s="73" t="s">
        <v>106</v>
      </c>
      <c r="L352" s="34">
        <v>1.24</v>
      </c>
      <c r="M352" s="227" t="s">
        <v>201</v>
      </c>
      <c r="N352" s="88" t="s">
        <v>135</v>
      </c>
      <c r="O352" s="36">
        <f>J352*L352</f>
        <v>6.5720000000000001</v>
      </c>
      <c r="P352" s="32" t="s">
        <v>65</v>
      </c>
      <c r="R352" s="20"/>
      <c r="S352" s="20"/>
      <c r="T352" s="21"/>
      <c r="U352" s="20"/>
    </row>
    <row r="353" spans="1:32" s="14" customFormat="1" ht="23.25" hidden="1" customHeight="1" x14ac:dyDescent="0.2">
      <c r="A353" s="594"/>
      <c r="B353" s="430"/>
      <c r="C353" s="433"/>
      <c r="D353" s="439"/>
      <c r="E353" s="439"/>
      <c r="F353" s="439"/>
      <c r="G353" s="409"/>
      <c r="H353" s="433"/>
      <c r="I353" s="409"/>
      <c r="J353" s="563"/>
      <c r="K353" s="32" t="s">
        <v>107</v>
      </c>
      <c r="L353" s="88">
        <f>2.9/1000</f>
        <v>2.8999999999999998E-3</v>
      </c>
      <c r="M353" s="226" t="s">
        <v>200</v>
      </c>
      <c r="N353" s="88" t="s">
        <v>36</v>
      </c>
      <c r="O353" s="38">
        <f>J352*L353</f>
        <v>1.54E-2</v>
      </c>
      <c r="P353" s="32" t="s">
        <v>65</v>
      </c>
      <c r="R353" s="20"/>
      <c r="S353" s="20"/>
      <c r="T353" s="21"/>
      <c r="U353" s="20"/>
    </row>
    <row r="354" spans="1:32" s="14" customFormat="1" ht="23.25" hidden="1" customHeight="1" x14ac:dyDescent="0.2">
      <c r="A354" s="594"/>
      <c r="B354" s="430" t="s">
        <v>32</v>
      </c>
      <c r="C354" s="433"/>
      <c r="D354" s="433"/>
      <c r="E354" s="433"/>
      <c r="F354" s="439" t="s">
        <v>29</v>
      </c>
      <c r="G354" s="409" t="s">
        <v>63</v>
      </c>
      <c r="H354" s="433"/>
      <c r="I354" s="523">
        <f>3.14*E350*(D350/1000+2*H350/1000)</f>
        <v>38</v>
      </c>
      <c r="J354" s="433"/>
      <c r="K354" s="32" t="s">
        <v>83</v>
      </c>
      <c r="L354" s="88">
        <v>1.05</v>
      </c>
      <c r="M354" s="149" t="s">
        <v>221</v>
      </c>
      <c r="N354" s="88" t="s">
        <v>136</v>
      </c>
      <c r="O354" s="219">
        <f>I354*L354</f>
        <v>39.9</v>
      </c>
      <c r="P354" s="32" t="s">
        <v>65</v>
      </c>
      <c r="R354" s="20"/>
      <c r="S354" s="20"/>
      <c r="T354" s="21"/>
      <c r="U354" s="20"/>
    </row>
    <row r="355" spans="1:32" s="14" customFormat="1" ht="23.25" hidden="1" customHeight="1" x14ac:dyDescent="0.2">
      <c r="A355" s="594"/>
      <c r="B355" s="430"/>
      <c r="C355" s="433"/>
      <c r="D355" s="433"/>
      <c r="E355" s="433"/>
      <c r="F355" s="439"/>
      <c r="G355" s="409"/>
      <c r="H355" s="433"/>
      <c r="I355" s="523"/>
      <c r="J355" s="433"/>
      <c r="K355" s="32" t="s">
        <v>84</v>
      </c>
      <c r="L355" s="88">
        <f>0.03/1000</f>
        <v>3.0000000000000001E-5</v>
      </c>
      <c r="M355" s="226" t="s">
        <v>200</v>
      </c>
      <c r="N355" s="88" t="s">
        <v>36</v>
      </c>
      <c r="O355" s="38">
        <f>I354*L355</f>
        <v>1.1000000000000001E-3</v>
      </c>
      <c r="P355" s="32" t="s">
        <v>65</v>
      </c>
      <c r="R355" s="20"/>
      <c r="S355" s="20"/>
      <c r="T355" s="21"/>
      <c r="U355" s="20"/>
    </row>
    <row r="356" spans="1:32" s="14" customFormat="1" ht="23.25" hidden="1" customHeight="1" x14ac:dyDescent="0.2">
      <c r="A356" s="594"/>
      <c r="B356" s="430" t="s">
        <v>34</v>
      </c>
      <c r="C356" s="433"/>
      <c r="D356" s="433"/>
      <c r="E356" s="433"/>
      <c r="F356" s="439" t="s">
        <v>63</v>
      </c>
      <c r="G356" s="433"/>
      <c r="H356" s="433"/>
      <c r="I356" s="523">
        <f>I354</f>
        <v>38</v>
      </c>
      <c r="J356" s="433"/>
      <c r="K356" s="32" t="s">
        <v>85</v>
      </c>
      <c r="L356" s="88">
        <f>18/1000</f>
        <v>1.7999999999999999E-2</v>
      </c>
      <c r="M356" s="149" t="s">
        <v>195</v>
      </c>
      <c r="N356" s="88" t="s">
        <v>36</v>
      </c>
      <c r="O356" s="36">
        <f>I356*L356</f>
        <v>0.68400000000000005</v>
      </c>
      <c r="P356" s="32" t="s">
        <v>65</v>
      </c>
      <c r="R356" s="20"/>
      <c r="S356" s="20"/>
      <c r="T356" s="21"/>
      <c r="U356" s="20"/>
    </row>
    <row r="357" spans="1:32" s="14" customFormat="1" ht="23.25" hidden="1" customHeight="1" x14ac:dyDescent="0.2">
      <c r="A357" s="595"/>
      <c r="B357" s="430"/>
      <c r="C357" s="433"/>
      <c r="D357" s="433"/>
      <c r="E357" s="433"/>
      <c r="F357" s="439"/>
      <c r="G357" s="433"/>
      <c r="H357" s="433"/>
      <c r="I357" s="523"/>
      <c r="J357" s="433"/>
      <c r="K357" s="32" t="s">
        <v>85</v>
      </c>
      <c r="L357" s="88">
        <f>5.2/1000</f>
        <v>5.1999999999999998E-3</v>
      </c>
      <c r="M357" s="149" t="s">
        <v>197</v>
      </c>
      <c r="N357" s="88" t="s">
        <v>36</v>
      </c>
      <c r="O357" s="36">
        <f>I356*L357</f>
        <v>0.19800000000000001</v>
      </c>
      <c r="P357" s="32" t="s">
        <v>65</v>
      </c>
      <c r="R357" s="20"/>
      <c r="S357" s="20"/>
      <c r="T357" s="21"/>
      <c r="U357" s="20"/>
    </row>
    <row r="358" spans="1:32" s="14" customFormat="1" ht="23.25" hidden="1" customHeight="1" x14ac:dyDescent="0.2">
      <c r="A358" s="593">
        <v>43</v>
      </c>
      <c r="B358" s="308" t="s">
        <v>272</v>
      </c>
      <c r="C358" s="272"/>
      <c r="D358" s="272"/>
      <c r="E358" s="272"/>
      <c r="F358" s="270"/>
      <c r="G358" s="272"/>
      <c r="H358" s="272"/>
      <c r="I358" s="290"/>
      <c r="J358" s="272"/>
      <c r="K358" s="270"/>
      <c r="L358" s="265"/>
      <c r="M358" s="288"/>
      <c r="N358" s="262"/>
      <c r="O358" s="36"/>
      <c r="P358" s="270"/>
      <c r="R358" s="20"/>
      <c r="S358" s="20"/>
      <c r="T358" s="21"/>
      <c r="U358" s="20"/>
    </row>
    <row r="359" spans="1:32" s="14" customFormat="1" ht="26.25" hidden="1" customHeight="1" x14ac:dyDescent="0.2">
      <c r="A359" s="594"/>
      <c r="B359" s="504" t="s">
        <v>183</v>
      </c>
      <c r="C359" s="409"/>
      <c r="D359" s="409"/>
      <c r="E359" s="409"/>
      <c r="F359" s="409"/>
      <c r="G359" s="409"/>
      <c r="H359" s="409"/>
      <c r="I359" s="409"/>
      <c r="J359" s="409"/>
      <c r="K359" s="88"/>
      <c r="L359" s="515" t="s">
        <v>128</v>
      </c>
      <c r="M359" s="77" t="s">
        <v>51</v>
      </c>
      <c r="N359" s="74" t="s">
        <v>36</v>
      </c>
      <c r="O359" s="158" t="s">
        <v>184</v>
      </c>
      <c r="P359" s="32" t="s">
        <v>65</v>
      </c>
      <c r="R359" s="20"/>
      <c r="S359" s="20"/>
      <c r="T359" s="21"/>
      <c r="U359" s="20"/>
    </row>
    <row r="360" spans="1:32" s="14" customFormat="1" ht="23.25" hidden="1" customHeight="1" x14ac:dyDescent="0.2">
      <c r="A360" s="594"/>
      <c r="B360" s="505"/>
      <c r="C360" s="409"/>
      <c r="D360" s="409"/>
      <c r="E360" s="409"/>
      <c r="F360" s="409"/>
      <c r="G360" s="409"/>
      <c r="H360" s="409"/>
      <c r="I360" s="409"/>
      <c r="J360" s="409"/>
      <c r="K360" s="109" t="s">
        <v>86</v>
      </c>
      <c r="L360" s="516"/>
      <c r="M360" s="73" t="s">
        <v>64</v>
      </c>
      <c r="N360" s="74" t="s">
        <v>30</v>
      </c>
      <c r="O360" s="151">
        <f>27.04/100*0.008</f>
        <v>2E-3</v>
      </c>
      <c r="P360" s="32" t="s">
        <v>65</v>
      </c>
      <c r="Q360" s="14" t="s">
        <v>182</v>
      </c>
      <c r="R360" s="20"/>
      <c r="S360" s="20"/>
      <c r="T360" s="21"/>
      <c r="U360" s="20"/>
    </row>
    <row r="361" spans="1:32" s="14" customFormat="1" ht="23.25" hidden="1" customHeight="1" x14ac:dyDescent="0.2">
      <c r="A361" s="594"/>
      <c r="B361" s="505"/>
      <c r="C361" s="409"/>
      <c r="D361" s="409"/>
      <c r="E361" s="409"/>
      <c r="F361" s="409"/>
      <c r="G361" s="409"/>
      <c r="H361" s="409"/>
      <c r="I361" s="409"/>
      <c r="J361" s="409"/>
      <c r="K361" s="109" t="s">
        <v>86</v>
      </c>
      <c r="L361" s="516"/>
      <c r="M361" s="73" t="s">
        <v>66</v>
      </c>
      <c r="N361" s="74" t="s">
        <v>36</v>
      </c>
      <c r="O361" s="151">
        <f>27.04/100*0.029</f>
        <v>8.0000000000000002E-3</v>
      </c>
      <c r="P361" s="32" t="s">
        <v>65</v>
      </c>
      <c r="R361" s="20"/>
      <c r="S361" s="20"/>
      <c r="T361" s="21"/>
      <c r="U361" s="20"/>
    </row>
    <row r="362" spans="1:32" s="14" customFormat="1" ht="23.25" hidden="1" customHeight="1" x14ac:dyDescent="0.2">
      <c r="A362" s="595"/>
      <c r="B362" s="506"/>
      <c r="C362" s="409"/>
      <c r="D362" s="409"/>
      <c r="E362" s="409"/>
      <c r="F362" s="409"/>
      <c r="G362" s="409"/>
      <c r="H362" s="409"/>
      <c r="I362" s="409"/>
      <c r="J362" s="409"/>
      <c r="K362" s="109" t="s">
        <v>86</v>
      </c>
      <c r="L362" s="533"/>
      <c r="M362" s="73" t="s">
        <v>67</v>
      </c>
      <c r="N362" s="74" t="s">
        <v>33</v>
      </c>
      <c r="O362" s="152">
        <f>27.04/100*5.5</f>
        <v>1.4870000000000001</v>
      </c>
      <c r="P362" s="32" t="s">
        <v>65</v>
      </c>
      <c r="R362" s="20"/>
      <c r="S362" s="20"/>
      <c r="T362" s="21"/>
      <c r="U362" s="20"/>
    </row>
    <row r="363" spans="1:32" s="14" customFormat="1" ht="15.75" hidden="1" x14ac:dyDescent="0.25">
      <c r="A363" s="471">
        <v>44</v>
      </c>
      <c r="B363" s="293" t="s">
        <v>273</v>
      </c>
      <c r="C363" s="214"/>
      <c r="D363" s="215"/>
      <c r="E363" s="215"/>
      <c r="F363" s="215"/>
      <c r="G363" s="215"/>
      <c r="H363" s="215">
        <v>100</v>
      </c>
      <c r="I363" s="219"/>
      <c r="J363" s="215"/>
      <c r="K363" s="216"/>
      <c r="L363" s="216"/>
      <c r="M363" s="122"/>
      <c r="N363" s="238"/>
      <c r="O363" s="215"/>
      <c r="P363" s="123"/>
      <c r="Q363" s="41"/>
      <c r="R363" s="20"/>
      <c r="S363" s="63"/>
      <c r="T363" s="64"/>
      <c r="U363" s="60"/>
      <c r="V363" s="60"/>
      <c r="W363" s="60"/>
      <c r="X363" s="60"/>
      <c r="Y363" s="60"/>
      <c r="Z363" s="65"/>
      <c r="AA363" s="60"/>
      <c r="AB363" s="66"/>
      <c r="AC363" s="66"/>
      <c r="AD363" s="60"/>
      <c r="AE363" s="67"/>
      <c r="AF363" s="60"/>
    </row>
    <row r="364" spans="1:32" s="14" customFormat="1" ht="15.75" hidden="1" x14ac:dyDescent="0.25">
      <c r="A364" s="472"/>
      <c r="B364" s="327" t="s">
        <v>156</v>
      </c>
      <c r="C364" s="214"/>
      <c r="D364" s="215"/>
      <c r="E364" s="215"/>
      <c r="F364" s="215"/>
      <c r="G364" s="215"/>
      <c r="H364" s="215"/>
      <c r="I364" s="219"/>
      <c r="J364" s="215">
        <v>1</v>
      </c>
      <c r="K364" s="216"/>
      <c r="L364" s="216"/>
      <c r="M364" s="122"/>
      <c r="N364" s="238"/>
      <c r="O364" s="215"/>
      <c r="P364" s="123"/>
      <c r="Q364" s="41"/>
      <c r="R364" s="20"/>
      <c r="S364" s="68"/>
      <c r="T364" s="64"/>
      <c r="U364" s="60"/>
      <c r="V364" s="60"/>
      <c r="W364" s="60"/>
      <c r="X364" s="60"/>
      <c r="Y364" s="60"/>
      <c r="Z364" s="60"/>
      <c r="AA364" s="60"/>
      <c r="AB364" s="585"/>
      <c r="AC364" s="585"/>
      <c r="AD364" s="60"/>
      <c r="AE364" s="67"/>
      <c r="AF364" s="62"/>
    </row>
    <row r="365" spans="1:32" s="14" customFormat="1" ht="15.75" hidden="1" x14ac:dyDescent="0.25">
      <c r="A365" s="472"/>
      <c r="B365" s="504" t="s">
        <v>157</v>
      </c>
      <c r="C365" s="424"/>
      <c r="D365" s="424"/>
      <c r="E365" s="424"/>
      <c r="F365" s="462" t="s">
        <v>158</v>
      </c>
      <c r="G365" s="453"/>
      <c r="H365" s="453" t="s">
        <v>159</v>
      </c>
      <c r="I365" s="530"/>
      <c r="J365" s="527">
        <v>1</v>
      </c>
      <c r="K365" s="239" t="s">
        <v>160</v>
      </c>
      <c r="L365" s="216">
        <v>2.097</v>
      </c>
      <c r="M365" s="240" t="s">
        <v>161</v>
      </c>
      <c r="N365" s="215" t="s">
        <v>36</v>
      </c>
      <c r="O365" s="219">
        <f>J365*L365</f>
        <v>2.1</v>
      </c>
      <c r="P365" s="304" t="s">
        <v>71</v>
      </c>
      <c r="R365" s="20"/>
      <c r="S365" s="68"/>
      <c r="T365" s="64"/>
      <c r="U365" s="60"/>
      <c r="V365" s="60"/>
      <c r="W365" s="69"/>
      <c r="X365" s="60"/>
      <c r="Y365" s="60"/>
      <c r="Z365" s="60"/>
      <c r="AA365" s="60"/>
      <c r="AB365" s="583"/>
      <c r="AC365" s="584"/>
      <c r="AD365" s="60"/>
      <c r="AE365" s="60"/>
      <c r="AF365" s="62"/>
    </row>
    <row r="366" spans="1:32" s="14" customFormat="1" ht="15.75" hidden="1" x14ac:dyDescent="0.25">
      <c r="A366" s="472"/>
      <c r="B366" s="505"/>
      <c r="C366" s="456"/>
      <c r="D366" s="456"/>
      <c r="E366" s="456"/>
      <c r="F366" s="526"/>
      <c r="G366" s="454"/>
      <c r="H366" s="454"/>
      <c r="I366" s="531"/>
      <c r="J366" s="528"/>
      <c r="K366" s="239"/>
      <c r="L366" s="216"/>
      <c r="M366" s="221" t="s">
        <v>162</v>
      </c>
      <c r="N366" s="215"/>
      <c r="O366" s="215"/>
      <c r="P366" s="304"/>
      <c r="R366" s="20"/>
      <c r="S366" s="68"/>
      <c r="T366" s="64"/>
      <c r="U366" s="60"/>
      <c r="V366" s="60"/>
      <c r="W366" s="60"/>
      <c r="X366" s="60"/>
      <c r="Y366" s="60"/>
      <c r="Z366" s="60"/>
      <c r="AA366" s="60"/>
      <c r="AB366" s="583"/>
      <c r="AC366" s="584"/>
      <c r="AD366" s="60"/>
      <c r="AE366" s="60"/>
      <c r="AF366" s="60"/>
    </row>
    <row r="367" spans="1:32" s="14" customFormat="1" ht="15.75" hidden="1" x14ac:dyDescent="0.25">
      <c r="A367" s="472"/>
      <c r="B367" s="505"/>
      <c r="C367" s="456"/>
      <c r="D367" s="456"/>
      <c r="E367" s="456"/>
      <c r="F367" s="526"/>
      <c r="G367" s="454"/>
      <c r="H367" s="454"/>
      <c r="I367" s="531"/>
      <c r="J367" s="528"/>
      <c r="K367" s="239" t="s">
        <v>160</v>
      </c>
      <c r="L367" s="216">
        <v>8.3000000000000004E-2</v>
      </c>
      <c r="M367" s="221" t="s">
        <v>163</v>
      </c>
      <c r="N367" s="215"/>
      <c r="O367" s="215"/>
      <c r="P367" s="304"/>
      <c r="R367" s="20"/>
      <c r="S367" s="68"/>
      <c r="T367" s="64"/>
      <c r="U367" s="60"/>
      <c r="V367" s="60"/>
      <c r="W367" s="60"/>
      <c r="X367" s="60"/>
      <c r="Y367" s="60"/>
      <c r="Z367" s="60"/>
      <c r="AA367" s="60"/>
      <c r="AB367" s="583"/>
      <c r="AC367" s="584"/>
      <c r="AD367" s="60"/>
      <c r="AE367" s="67"/>
      <c r="AF367" s="62"/>
    </row>
    <row r="368" spans="1:32" s="14" customFormat="1" ht="15.75" hidden="1" x14ac:dyDescent="0.25">
      <c r="A368" s="472"/>
      <c r="B368" s="505"/>
      <c r="C368" s="456"/>
      <c r="D368" s="456"/>
      <c r="E368" s="456"/>
      <c r="F368" s="526"/>
      <c r="G368" s="454"/>
      <c r="H368" s="454"/>
      <c r="I368" s="531"/>
      <c r="J368" s="528"/>
      <c r="K368" s="239" t="s">
        <v>164</v>
      </c>
      <c r="L368" s="216">
        <f>913/1000</f>
        <v>0.91300000000000003</v>
      </c>
      <c r="M368" s="221" t="s">
        <v>165</v>
      </c>
      <c r="N368" s="215" t="s">
        <v>36</v>
      </c>
      <c r="O368" s="36">
        <f>J365*L367*L368</f>
        <v>7.5999999999999998E-2</v>
      </c>
      <c r="P368" s="304" t="s">
        <v>71</v>
      </c>
      <c r="Q368" s="191"/>
      <c r="R368" s="20"/>
      <c r="S368" s="68"/>
      <c r="T368" s="64"/>
      <c r="U368" s="60"/>
      <c r="V368" s="60"/>
      <c r="W368" s="60"/>
      <c r="X368" s="60"/>
      <c r="Y368" s="60"/>
      <c r="Z368" s="60"/>
      <c r="AA368" s="60"/>
      <c r="AB368" s="583"/>
      <c r="AC368" s="584"/>
      <c r="AD368" s="60"/>
      <c r="AE368" s="60"/>
      <c r="AF368" s="60"/>
    </row>
    <row r="369" spans="1:32" s="14" customFormat="1" ht="15.75" hidden="1" x14ac:dyDescent="0.25">
      <c r="A369" s="472"/>
      <c r="B369" s="505"/>
      <c r="C369" s="456"/>
      <c r="D369" s="456"/>
      <c r="E369" s="456"/>
      <c r="F369" s="526"/>
      <c r="G369" s="454"/>
      <c r="H369" s="454"/>
      <c r="I369" s="531"/>
      <c r="J369" s="528"/>
      <c r="K369" s="239" t="s">
        <v>160</v>
      </c>
      <c r="L369" s="216">
        <v>8.3000000000000004E-2</v>
      </c>
      <c r="M369" s="221" t="s">
        <v>166</v>
      </c>
      <c r="N369" s="215"/>
      <c r="O369" s="215"/>
      <c r="P369" s="304"/>
      <c r="R369" s="20"/>
      <c r="S369" s="68"/>
      <c r="T369" s="64"/>
      <c r="U369" s="60"/>
      <c r="V369" s="60"/>
      <c r="W369" s="60"/>
      <c r="X369" s="60"/>
      <c r="Y369" s="60"/>
      <c r="Z369" s="60"/>
      <c r="AA369" s="60"/>
      <c r="AB369" s="583"/>
      <c r="AC369" s="584"/>
      <c r="AD369" s="60"/>
      <c r="AE369" s="67"/>
      <c r="AF369" s="60"/>
    </row>
    <row r="370" spans="1:32" s="14" customFormat="1" ht="15.75" hidden="1" x14ac:dyDescent="0.25">
      <c r="A370" s="472"/>
      <c r="B370" s="506"/>
      <c r="C370" s="425"/>
      <c r="D370" s="425"/>
      <c r="E370" s="425"/>
      <c r="F370" s="463"/>
      <c r="G370" s="455"/>
      <c r="H370" s="455"/>
      <c r="I370" s="532"/>
      <c r="J370" s="529"/>
      <c r="K370" s="239" t="s">
        <v>167</v>
      </c>
      <c r="L370" s="216">
        <f>532/1000</f>
        <v>0.53200000000000003</v>
      </c>
      <c r="M370" s="221" t="s">
        <v>168</v>
      </c>
      <c r="N370" s="215" t="s">
        <v>36</v>
      </c>
      <c r="O370" s="36">
        <f>J365*L369*L370</f>
        <v>4.3999999999999997E-2</v>
      </c>
      <c r="P370" s="304" t="s">
        <v>65</v>
      </c>
      <c r="R370" s="20"/>
      <c r="S370" s="68"/>
      <c r="T370" s="60"/>
      <c r="U370" s="60"/>
      <c r="V370" s="60"/>
      <c r="W370" s="60"/>
      <c r="X370" s="60"/>
      <c r="Y370" s="60"/>
      <c r="Z370" s="60"/>
      <c r="AA370" s="60"/>
      <c r="AB370" s="585"/>
      <c r="AC370" s="585"/>
      <c r="AD370" s="60"/>
      <c r="AE370" s="60"/>
      <c r="AF370" s="60"/>
    </row>
    <row r="371" spans="1:32" s="14" customFormat="1" ht="15.75" hidden="1" x14ac:dyDescent="0.25">
      <c r="A371" s="472"/>
      <c r="B371" s="176" t="s">
        <v>153</v>
      </c>
      <c r="C371" s="215"/>
      <c r="D371" s="215"/>
      <c r="E371" s="215"/>
      <c r="F371" s="215"/>
      <c r="G371" s="215"/>
      <c r="H371" s="215"/>
      <c r="I371" s="224">
        <v>5</v>
      </c>
      <c r="J371" s="218"/>
      <c r="K371" s="216"/>
      <c r="L371" s="216"/>
      <c r="M371" s="543"/>
      <c r="N371" s="544"/>
      <c r="O371" s="215"/>
      <c r="P371" s="274"/>
      <c r="Q371" s="41"/>
      <c r="R371" s="20"/>
      <c r="S371" s="68"/>
      <c r="T371" s="64"/>
      <c r="U371" s="60"/>
      <c r="V371" s="60"/>
      <c r="W371" s="60"/>
      <c r="X371" s="60"/>
      <c r="Y371" s="60"/>
      <c r="Z371" s="60"/>
      <c r="AA371" s="60"/>
      <c r="AB371" s="585"/>
      <c r="AC371" s="585"/>
      <c r="AD371" s="60"/>
      <c r="AE371" s="60"/>
      <c r="AF371" s="62"/>
    </row>
    <row r="372" spans="1:32" s="14" customFormat="1" ht="15.75" hidden="1" x14ac:dyDescent="0.25">
      <c r="A372" s="472"/>
      <c r="B372" s="176" t="s">
        <v>169</v>
      </c>
      <c r="C372" s="215"/>
      <c r="D372" s="215"/>
      <c r="E372" s="215"/>
      <c r="F372" s="215"/>
      <c r="G372" s="215"/>
      <c r="H372" s="215"/>
      <c r="I372" s="217"/>
      <c r="J372" s="218">
        <v>1</v>
      </c>
      <c r="K372" s="215"/>
      <c r="L372" s="215"/>
      <c r="M372" s="222"/>
      <c r="N372" s="223"/>
      <c r="O372" s="215"/>
      <c r="P372" s="274"/>
      <c r="Q372" s="41"/>
      <c r="R372" s="20"/>
      <c r="S372" s="68"/>
      <c r="T372" s="60"/>
      <c r="U372" s="60"/>
      <c r="V372" s="60"/>
      <c r="W372" s="60"/>
      <c r="X372" s="60"/>
      <c r="Y372" s="60"/>
      <c r="Z372" s="60"/>
      <c r="AA372" s="60"/>
      <c r="AB372" s="583"/>
      <c r="AC372" s="584"/>
      <c r="AD372" s="60"/>
      <c r="AE372" s="60"/>
      <c r="AF372" s="60"/>
    </row>
    <row r="373" spans="1:32" s="14" customFormat="1" ht="15.75" hidden="1" x14ac:dyDescent="0.25">
      <c r="A373" s="472"/>
      <c r="B373" s="504" t="s">
        <v>170</v>
      </c>
      <c r="C373" s="469"/>
      <c r="D373" s="469"/>
      <c r="E373" s="469"/>
      <c r="F373" s="619" t="s">
        <v>37</v>
      </c>
      <c r="G373" s="440"/>
      <c r="H373" s="440"/>
      <c r="I373" s="440"/>
      <c r="J373" s="527">
        <v>1</v>
      </c>
      <c r="K373" s="126"/>
      <c r="L373" s="126"/>
      <c r="M373" s="37" t="s">
        <v>171</v>
      </c>
      <c r="N373" s="215"/>
      <c r="O373" s="219"/>
      <c r="P373" s="309"/>
      <c r="R373" s="20"/>
      <c r="S373" s="68"/>
      <c r="T373" s="60"/>
      <c r="U373" s="60"/>
      <c r="V373" s="70"/>
      <c r="W373" s="60"/>
      <c r="X373" s="60"/>
      <c r="Y373" s="60"/>
      <c r="Z373" s="60"/>
      <c r="AA373" s="60"/>
      <c r="AB373" s="583"/>
      <c r="AC373" s="584"/>
      <c r="AD373" s="60"/>
      <c r="AE373" s="67"/>
      <c r="AF373" s="62"/>
    </row>
    <row r="374" spans="1:32" s="14" customFormat="1" ht="15.75" hidden="1" x14ac:dyDescent="0.25">
      <c r="A374" s="472"/>
      <c r="B374" s="505"/>
      <c r="C374" s="613"/>
      <c r="D374" s="613"/>
      <c r="E374" s="613"/>
      <c r="F374" s="620"/>
      <c r="G374" s="522"/>
      <c r="H374" s="522"/>
      <c r="I374" s="522"/>
      <c r="J374" s="528"/>
      <c r="K374" s="51" t="s">
        <v>101</v>
      </c>
      <c r="L374" s="251">
        <v>0.78300000000000003</v>
      </c>
      <c r="M374" s="37" t="s">
        <v>53</v>
      </c>
      <c r="N374" s="215"/>
      <c r="O374" s="215"/>
      <c r="P374" s="304"/>
      <c r="Q374" s="306" t="s">
        <v>238</v>
      </c>
      <c r="R374" s="20"/>
      <c r="S374" s="68"/>
      <c r="T374" s="64"/>
      <c r="U374" s="60"/>
      <c r="V374" s="60"/>
      <c r="W374" s="60"/>
      <c r="X374" s="60"/>
      <c r="Y374" s="60"/>
      <c r="Z374" s="60"/>
      <c r="AA374" s="60"/>
      <c r="AB374" s="70"/>
      <c r="AC374" s="71"/>
      <c r="AD374" s="60"/>
      <c r="AE374" s="72"/>
      <c r="AF374" s="60"/>
    </row>
    <row r="375" spans="1:32" s="14" customFormat="1" ht="26.25" hidden="1" x14ac:dyDescent="0.25">
      <c r="A375" s="472"/>
      <c r="B375" s="505"/>
      <c r="C375" s="613"/>
      <c r="D375" s="613"/>
      <c r="E375" s="613"/>
      <c r="F375" s="620"/>
      <c r="G375" s="522"/>
      <c r="H375" s="522"/>
      <c r="I375" s="522"/>
      <c r="J375" s="528"/>
      <c r="K375" s="51" t="s">
        <v>102</v>
      </c>
      <c r="L375" s="251">
        <v>1.02</v>
      </c>
      <c r="M375" s="37" t="s">
        <v>194</v>
      </c>
      <c r="N375" s="215" t="s">
        <v>36</v>
      </c>
      <c r="O375" s="36">
        <f>J373*L374*L375</f>
        <v>0.79900000000000004</v>
      </c>
      <c r="P375" s="304" t="s">
        <v>71</v>
      </c>
      <c r="R375" s="20"/>
      <c r="S375" s="68"/>
      <c r="T375" s="64"/>
      <c r="U375" s="60"/>
      <c r="V375" s="60"/>
      <c r="W375" s="60"/>
      <c r="X375" s="60"/>
      <c r="Y375" s="60"/>
      <c r="Z375" s="60"/>
      <c r="AA375" s="60"/>
      <c r="AB375" s="583"/>
      <c r="AC375" s="584"/>
      <c r="AD375" s="60"/>
      <c r="AE375" s="67"/>
      <c r="AF375" s="62"/>
    </row>
    <row r="376" spans="1:32" s="14" customFormat="1" ht="15.75" hidden="1" x14ac:dyDescent="0.25">
      <c r="A376" s="472"/>
      <c r="B376" s="505"/>
      <c r="C376" s="613"/>
      <c r="D376" s="613"/>
      <c r="E376" s="613"/>
      <c r="F376" s="620"/>
      <c r="G376" s="522"/>
      <c r="H376" s="522"/>
      <c r="I376" s="522"/>
      <c r="J376" s="528"/>
      <c r="K376" s="51" t="s">
        <v>103</v>
      </c>
      <c r="L376" s="251">
        <v>0.78300000000000003</v>
      </c>
      <c r="M376" s="37" t="s">
        <v>54</v>
      </c>
      <c r="N376" s="215"/>
      <c r="O376" s="38"/>
      <c r="P376" s="304"/>
      <c r="R376" s="20"/>
      <c r="S376" s="68"/>
      <c r="T376" s="64"/>
      <c r="U376" s="60"/>
      <c r="V376" s="60"/>
      <c r="W376" s="60"/>
      <c r="X376" s="60"/>
      <c r="Y376" s="60"/>
      <c r="Z376" s="60"/>
      <c r="AA376" s="60"/>
      <c r="AB376" s="583"/>
      <c r="AC376" s="584"/>
      <c r="AD376" s="60"/>
      <c r="AE376" s="61"/>
      <c r="AF376" s="60"/>
    </row>
    <row r="377" spans="1:32" s="14" customFormat="1" ht="15.75" hidden="1" x14ac:dyDescent="0.25">
      <c r="A377" s="472"/>
      <c r="B377" s="505"/>
      <c r="C377" s="613"/>
      <c r="D377" s="613"/>
      <c r="E377" s="613"/>
      <c r="F377" s="620"/>
      <c r="G377" s="522"/>
      <c r="H377" s="522"/>
      <c r="I377" s="522"/>
      <c r="J377" s="528"/>
      <c r="K377" s="51" t="s">
        <v>102</v>
      </c>
      <c r="L377" s="251">
        <v>1.02</v>
      </c>
      <c r="M377" s="37" t="s">
        <v>55</v>
      </c>
      <c r="N377" s="215" t="s">
        <v>36</v>
      </c>
      <c r="O377" s="36">
        <f>J373*L376*L377</f>
        <v>0.79900000000000004</v>
      </c>
      <c r="P377" s="304" t="s">
        <v>71</v>
      </c>
      <c r="R377" s="20"/>
      <c r="S377" s="68"/>
      <c r="T377" s="64"/>
      <c r="U377" s="60"/>
      <c r="V377" s="60"/>
      <c r="W377" s="60"/>
      <c r="X377" s="60"/>
      <c r="Y377" s="60"/>
      <c r="Z377" s="60"/>
      <c r="AA377" s="60"/>
      <c r="AB377" s="583"/>
      <c r="AC377" s="584"/>
      <c r="AD377" s="60"/>
      <c r="AE377" s="67"/>
      <c r="AF377" s="62"/>
    </row>
    <row r="378" spans="1:32" s="14" customFormat="1" ht="15.75" hidden="1" x14ac:dyDescent="0.25">
      <c r="A378" s="472"/>
      <c r="B378" s="505"/>
      <c r="C378" s="613"/>
      <c r="D378" s="613"/>
      <c r="E378" s="613"/>
      <c r="F378" s="620"/>
      <c r="G378" s="522"/>
      <c r="H378" s="522"/>
      <c r="I378" s="522"/>
      <c r="J378" s="528"/>
      <c r="K378" s="51" t="s">
        <v>104</v>
      </c>
      <c r="L378" s="251">
        <v>0.308</v>
      </c>
      <c r="M378" s="37" t="s">
        <v>56</v>
      </c>
      <c r="N378" s="215"/>
      <c r="O378" s="219"/>
      <c r="P378" s="304"/>
      <c r="R378" s="20"/>
      <c r="S378" s="68"/>
      <c r="T378" s="64"/>
      <c r="U378" s="60"/>
      <c r="V378" s="60"/>
      <c r="W378" s="60"/>
      <c r="X378" s="60"/>
      <c r="Y378" s="60"/>
      <c r="Z378" s="60"/>
      <c r="AA378" s="60"/>
      <c r="AB378" s="585"/>
      <c r="AC378" s="585"/>
      <c r="AD378" s="60"/>
      <c r="AE378" s="61"/>
      <c r="AF378" s="60"/>
    </row>
    <row r="379" spans="1:32" s="14" customFormat="1" ht="15.75" hidden="1" x14ac:dyDescent="0.25">
      <c r="A379" s="472"/>
      <c r="B379" s="506"/>
      <c r="C379" s="470"/>
      <c r="D379" s="470"/>
      <c r="E379" s="470"/>
      <c r="F379" s="621"/>
      <c r="G379" s="441"/>
      <c r="H379" s="441"/>
      <c r="I379" s="441"/>
      <c r="J379" s="529"/>
      <c r="K379" s="51" t="s">
        <v>102</v>
      </c>
      <c r="L379" s="216">
        <v>1.02</v>
      </c>
      <c r="M379" s="37" t="s">
        <v>105</v>
      </c>
      <c r="N379" s="215" t="s">
        <v>36</v>
      </c>
      <c r="O379" s="36">
        <f>J373*L378*L379</f>
        <v>0.314</v>
      </c>
      <c r="P379" s="304" t="s">
        <v>71</v>
      </c>
      <c r="R379" s="20"/>
      <c r="S379" s="68"/>
      <c r="T379" s="64"/>
      <c r="U379" s="60"/>
      <c r="V379" s="60"/>
      <c r="W379" s="60"/>
      <c r="X379" s="60"/>
      <c r="Y379" s="60"/>
      <c r="Z379" s="60"/>
      <c r="AA379" s="60"/>
      <c r="AB379" s="583"/>
      <c r="AC379" s="584"/>
      <c r="AD379" s="60"/>
      <c r="AE379" s="61"/>
      <c r="AF379" s="60"/>
    </row>
    <row r="380" spans="1:32" s="14" customFormat="1" ht="24.75" hidden="1" customHeight="1" x14ac:dyDescent="0.25">
      <c r="A380" s="472"/>
      <c r="B380" s="628" t="s">
        <v>154</v>
      </c>
      <c r="C380" s="424"/>
      <c r="D380" s="424"/>
      <c r="E380" s="424"/>
      <c r="F380" s="611" t="s">
        <v>241</v>
      </c>
      <c r="G380" s="440"/>
      <c r="H380" s="440"/>
      <c r="I380" s="442">
        <v>5</v>
      </c>
      <c r="J380" s="440"/>
      <c r="K380" s="51" t="s">
        <v>102</v>
      </c>
      <c r="L380" s="251">
        <f>42.5/1000</f>
        <v>4.2500000000000003E-2</v>
      </c>
      <c r="M380" s="37" t="s">
        <v>242</v>
      </c>
      <c r="N380" s="320" t="s">
        <v>36</v>
      </c>
      <c r="O380" s="38">
        <f>J373*L380</f>
        <v>4.2500000000000003E-2</v>
      </c>
      <c r="P380" s="304" t="s">
        <v>65</v>
      </c>
      <c r="R380" s="20"/>
      <c r="S380" s="68"/>
      <c r="T380" s="64"/>
      <c r="U380" s="60"/>
      <c r="V380" s="60"/>
      <c r="W380" s="60"/>
      <c r="X380" s="60"/>
      <c r="Y380" s="60"/>
      <c r="Z380" s="60"/>
      <c r="AA380" s="60"/>
      <c r="AB380" s="585"/>
      <c r="AC380" s="585"/>
      <c r="AD380" s="60"/>
      <c r="AE380" s="60"/>
      <c r="AF380" s="60"/>
    </row>
    <row r="381" spans="1:32" s="14" customFormat="1" ht="24.75" hidden="1" customHeight="1" x14ac:dyDescent="0.2">
      <c r="A381" s="472"/>
      <c r="B381" s="629"/>
      <c r="C381" s="425"/>
      <c r="D381" s="425"/>
      <c r="E381" s="425"/>
      <c r="F381" s="612"/>
      <c r="G381" s="441"/>
      <c r="H381" s="441"/>
      <c r="I381" s="443"/>
      <c r="J381" s="441"/>
      <c r="K381" s="51" t="s">
        <v>102</v>
      </c>
      <c r="L381" s="216">
        <f>2.28/1000</f>
        <v>2.2799999999999999E-3</v>
      </c>
      <c r="M381" s="52" t="s">
        <v>209</v>
      </c>
      <c r="N381" s="215" t="s">
        <v>36</v>
      </c>
      <c r="O381" s="36">
        <f>I380*L381</f>
        <v>1.0999999999999999E-2</v>
      </c>
      <c r="P381" s="304" t="s">
        <v>65</v>
      </c>
      <c r="R381" s="20"/>
      <c r="S381" s="20"/>
      <c r="T381" s="21"/>
      <c r="U381" s="20"/>
    </row>
    <row r="382" spans="1:32" s="14" customFormat="1" ht="12.75" hidden="1" x14ac:dyDescent="0.2">
      <c r="A382" s="278">
        <v>45</v>
      </c>
      <c r="B382" s="335" t="s">
        <v>236</v>
      </c>
      <c r="C382" s="277"/>
      <c r="D382" s="277"/>
      <c r="E382" s="277"/>
      <c r="F382" s="310"/>
      <c r="G382" s="267"/>
      <c r="H382" s="267"/>
      <c r="I382" s="307"/>
      <c r="J382" s="267"/>
      <c r="K382" s="311"/>
      <c r="L382" s="291"/>
      <c r="M382" s="52"/>
      <c r="N382" s="262"/>
      <c r="O382" s="241"/>
      <c r="P382" s="304"/>
      <c r="R382" s="20"/>
      <c r="S382" s="20"/>
      <c r="T382" s="21"/>
      <c r="U382" s="20"/>
    </row>
    <row r="383" spans="1:32" s="14" customFormat="1" ht="24.75" hidden="1" customHeight="1" x14ac:dyDescent="0.2">
      <c r="A383" s="279"/>
      <c r="B383" s="504" t="s">
        <v>196</v>
      </c>
      <c r="C383" s="127"/>
      <c r="D383" s="128"/>
      <c r="E383" s="128"/>
      <c r="F383" s="128"/>
      <c r="G383" s="128"/>
      <c r="H383" s="128"/>
      <c r="I383" s="129"/>
      <c r="J383" s="593"/>
      <c r="K383" s="128"/>
      <c r="L383" s="515" t="s">
        <v>128</v>
      </c>
      <c r="M383" s="52" t="s">
        <v>35</v>
      </c>
      <c r="N383" s="85" t="s">
        <v>36</v>
      </c>
      <c r="O383" s="158" t="s">
        <v>185</v>
      </c>
      <c r="P383" s="304" t="s">
        <v>65</v>
      </c>
      <c r="Q383" s="27" t="s">
        <v>172</v>
      </c>
      <c r="R383" s="20"/>
      <c r="S383" s="20"/>
      <c r="T383" s="21"/>
      <c r="U383" s="20"/>
    </row>
    <row r="384" spans="1:32" s="14" customFormat="1" ht="24.75" hidden="1" customHeight="1" x14ac:dyDescent="0.2">
      <c r="A384" s="279"/>
      <c r="B384" s="505"/>
      <c r="C384" s="130"/>
      <c r="D384" s="131"/>
      <c r="E384" s="131"/>
      <c r="F384" s="131"/>
      <c r="G384" s="132"/>
      <c r="H384" s="131"/>
      <c r="I384" s="133"/>
      <c r="J384" s="594"/>
      <c r="K384" s="237" t="s">
        <v>86</v>
      </c>
      <c r="L384" s="516"/>
      <c r="M384" s="52" t="s">
        <v>64</v>
      </c>
      <c r="N384" s="85" t="s">
        <v>30</v>
      </c>
      <c r="O384" s="113">
        <f>20.28/100*0.008</f>
        <v>2E-3</v>
      </c>
      <c r="P384" s="304" t="s">
        <v>65</v>
      </c>
      <c r="R384" s="20"/>
      <c r="S384" s="20"/>
      <c r="T384" s="21"/>
      <c r="U384" s="20"/>
    </row>
    <row r="385" spans="1:21" s="14" customFormat="1" ht="24.75" hidden="1" customHeight="1" x14ac:dyDescent="0.2">
      <c r="A385" s="279"/>
      <c r="B385" s="505"/>
      <c r="C385" s="130"/>
      <c r="D385" s="131"/>
      <c r="E385" s="131"/>
      <c r="F385" s="131"/>
      <c r="G385" s="132"/>
      <c r="H385" s="131"/>
      <c r="I385" s="133"/>
      <c r="J385" s="594"/>
      <c r="K385" s="237" t="s">
        <v>86</v>
      </c>
      <c r="L385" s="516"/>
      <c r="M385" s="52" t="s">
        <v>140</v>
      </c>
      <c r="N385" s="85" t="s">
        <v>36</v>
      </c>
      <c r="O385" s="113">
        <f>20.28/100*0.029</f>
        <v>6.0000000000000001E-3</v>
      </c>
      <c r="P385" s="304" t="s">
        <v>65</v>
      </c>
      <c r="R385" s="20"/>
      <c r="S385" s="20"/>
      <c r="T385" s="21"/>
      <c r="U385" s="20"/>
    </row>
    <row r="386" spans="1:21" s="14" customFormat="1" ht="24.75" hidden="1" customHeight="1" x14ac:dyDescent="0.2">
      <c r="A386" s="280"/>
      <c r="B386" s="506"/>
      <c r="C386" s="82"/>
      <c r="D386" s="134"/>
      <c r="E386" s="134"/>
      <c r="F386" s="134"/>
      <c r="G386" s="84"/>
      <c r="H386" s="134"/>
      <c r="I386" s="135"/>
      <c r="J386" s="595"/>
      <c r="K386" s="237" t="s">
        <v>86</v>
      </c>
      <c r="L386" s="533"/>
      <c r="M386" s="52" t="s">
        <v>67</v>
      </c>
      <c r="N386" s="85" t="s">
        <v>33</v>
      </c>
      <c r="O386" s="113">
        <f>20.28/100*5.5</f>
        <v>1.115</v>
      </c>
      <c r="P386" s="304" t="s">
        <v>65</v>
      </c>
      <c r="R386" s="20"/>
      <c r="S386" s="20"/>
      <c r="T386" s="21"/>
      <c r="U386" s="20"/>
    </row>
    <row r="387" spans="1:21" s="14" customFormat="1" ht="39.75" hidden="1" customHeight="1" x14ac:dyDescent="0.2">
      <c r="A387" s="525">
        <v>46</v>
      </c>
      <c r="B387" s="336" t="s">
        <v>274</v>
      </c>
      <c r="C387" s="180"/>
      <c r="D387" s="85"/>
      <c r="E387" s="85"/>
      <c r="F387" s="85"/>
      <c r="G387" s="85"/>
      <c r="H387" s="85"/>
      <c r="I387" s="181"/>
      <c r="J387" s="85"/>
      <c r="K387" s="77"/>
      <c r="L387" s="85"/>
      <c r="M387" s="52"/>
      <c r="N387" s="85"/>
      <c r="O387" s="136"/>
      <c r="P387" s="111"/>
      <c r="Q387" s="31"/>
      <c r="S387" s="20"/>
      <c r="T387" s="21"/>
      <c r="U387" s="20"/>
    </row>
    <row r="388" spans="1:21" s="14" customFormat="1" ht="36" hidden="1" customHeight="1" x14ac:dyDescent="0.2">
      <c r="A388" s="525"/>
      <c r="B388" s="430" t="s">
        <v>44</v>
      </c>
      <c r="C388" s="409"/>
      <c r="D388" s="409"/>
      <c r="E388" s="409"/>
      <c r="F388" s="409"/>
      <c r="G388" s="409"/>
      <c r="H388" s="409"/>
      <c r="I388" s="524">
        <v>134</v>
      </c>
      <c r="J388" s="525"/>
      <c r="K388" s="111" t="s">
        <v>111</v>
      </c>
      <c r="L388" s="85">
        <f>1.53/1000</f>
        <v>1.5299999999999999E-3</v>
      </c>
      <c r="M388" s="73" t="s">
        <v>119</v>
      </c>
      <c r="N388" s="182" t="s">
        <v>36</v>
      </c>
      <c r="O388" s="36">
        <f>I388*L388</f>
        <v>0.20499999999999999</v>
      </c>
      <c r="P388" s="32" t="s">
        <v>65</v>
      </c>
      <c r="Q388" s="31"/>
      <c r="S388" s="20"/>
      <c r="T388" s="21"/>
      <c r="U388" s="20"/>
    </row>
    <row r="389" spans="1:21" s="14" customFormat="1" ht="27.75" hidden="1" customHeight="1" x14ac:dyDescent="0.2">
      <c r="A389" s="525"/>
      <c r="B389" s="430"/>
      <c r="C389" s="409"/>
      <c r="D389" s="409"/>
      <c r="E389" s="409"/>
      <c r="F389" s="409"/>
      <c r="G389" s="409"/>
      <c r="H389" s="409"/>
      <c r="I389" s="524"/>
      <c r="J389" s="525"/>
      <c r="K389" s="111" t="s">
        <v>112</v>
      </c>
      <c r="L389" s="85">
        <f>0.19/1000</f>
        <v>1.9000000000000001E-4</v>
      </c>
      <c r="M389" s="73" t="s">
        <v>120</v>
      </c>
      <c r="N389" s="182" t="s">
        <v>36</v>
      </c>
      <c r="O389" s="36">
        <f>I388*L389</f>
        <v>2.5000000000000001E-2</v>
      </c>
      <c r="P389" s="32" t="s">
        <v>65</v>
      </c>
      <c r="Q389" s="31"/>
      <c r="R389" s="20"/>
      <c r="S389" s="20"/>
      <c r="T389" s="21"/>
      <c r="U389" s="20"/>
    </row>
    <row r="390" spans="1:21" s="14" customFormat="1" ht="12" hidden="1" customHeight="1" x14ac:dyDescent="0.2">
      <c r="A390" s="525"/>
      <c r="B390" s="430"/>
      <c r="C390" s="409"/>
      <c r="D390" s="409"/>
      <c r="E390" s="409"/>
      <c r="F390" s="409"/>
      <c r="G390" s="409"/>
      <c r="H390" s="409"/>
      <c r="I390" s="524"/>
      <c r="J390" s="525"/>
      <c r="K390" s="111" t="s">
        <v>113</v>
      </c>
      <c r="L390" s="85">
        <f>0.155</f>
        <v>0.155</v>
      </c>
      <c r="M390" s="73" t="s">
        <v>60</v>
      </c>
      <c r="N390" s="182" t="s">
        <v>31</v>
      </c>
      <c r="O390" s="34">
        <f>I388*L390</f>
        <v>20.77</v>
      </c>
      <c r="P390" s="32" t="s">
        <v>65</v>
      </c>
      <c r="Q390" s="31"/>
      <c r="R390" s="20"/>
      <c r="S390" s="20"/>
      <c r="T390" s="21"/>
      <c r="U390" s="20"/>
    </row>
    <row r="391" spans="1:21" s="14" customFormat="1" ht="12.75" hidden="1" x14ac:dyDescent="0.2">
      <c r="A391" s="525"/>
      <c r="B391" s="430"/>
      <c r="C391" s="409"/>
      <c r="D391" s="409"/>
      <c r="E391" s="409"/>
      <c r="F391" s="409"/>
      <c r="G391" s="409"/>
      <c r="H391" s="409"/>
      <c r="I391" s="524"/>
      <c r="J391" s="525"/>
      <c r="K391" s="111" t="s">
        <v>114</v>
      </c>
      <c r="L391" s="85">
        <f>0.1</f>
        <v>0.1</v>
      </c>
      <c r="M391" s="73" t="s">
        <v>68</v>
      </c>
      <c r="N391" s="182" t="s">
        <v>31</v>
      </c>
      <c r="O391" s="34">
        <f>I388*L391</f>
        <v>13.4</v>
      </c>
      <c r="P391" s="32" t="s">
        <v>65</v>
      </c>
      <c r="Q391" s="31"/>
      <c r="R391" s="20"/>
      <c r="S391" s="20"/>
      <c r="T391" s="21"/>
      <c r="U391" s="20"/>
    </row>
    <row r="392" spans="1:21" s="14" customFormat="1" ht="12.75" hidden="1" x14ac:dyDescent="0.2">
      <c r="A392" s="525"/>
      <c r="B392" s="430"/>
      <c r="C392" s="409"/>
      <c r="D392" s="409"/>
      <c r="E392" s="409"/>
      <c r="F392" s="409"/>
      <c r="G392" s="409"/>
      <c r="H392" s="409"/>
      <c r="I392" s="524"/>
      <c r="J392" s="525"/>
      <c r="K392" s="111" t="s">
        <v>115</v>
      </c>
      <c r="L392" s="85">
        <f>0.3/1000</f>
        <v>2.9999999999999997E-4</v>
      </c>
      <c r="M392" s="73" t="s">
        <v>121</v>
      </c>
      <c r="N392" s="182" t="s">
        <v>36</v>
      </c>
      <c r="O392" s="36">
        <f>I388*L392</f>
        <v>0.04</v>
      </c>
      <c r="P392" s="32" t="s">
        <v>65</v>
      </c>
      <c r="Q392" s="20"/>
      <c r="R392" s="20"/>
      <c r="S392" s="20"/>
      <c r="T392" s="21"/>
      <c r="U392" s="20"/>
    </row>
    <row r="393" spans="1:21" s="14" customFormat="1" ht="24" hidden="1" customHeight="1" x14ac:dyDescent="0.2">
      <c r="A393" s="525"/>
      <c r="B393" s="430"/>
      <c r="C393" s="409"/>
      <c r="D393" s="409"/>
      <c r="E393" s="409"/>
      <c r="F393" s="409"/>
      <c r="G393" s="409"/>
      <c r="H393" s="409"/>
      <c r="I393" s="524"/>
      <c r="J393" s="525"/>
      <c r="K393" s="111" t="s">
        <v>116</v>
      </c>
      <c r="L393" s="85">
        <f>1.2</f>
        <v>1.2</v>
      </c>
      <c r="M393" s="225" t="s">
        <v>202</v>
      </c>
      <c r="N393" s="182" t="s">
        <v>33</v>
      </c>
      <c r="O393" s="34">
        <f>I388*L393</f>
        <v>160.80000000000001</v>
      </c>
      <c r="P393" s="32" t="s">
        <v>65</v>
      </c>
      <c r="R393" s="20"/>
      <c r="S393" s="20"/>
      <c r="T393" s="21"/>
      <c r="U393" s="20"/>
    </row>
    <row r="394" spans="1:21" s="14" customFormat="1" ht="48" hidden="1" customHeight="1" x14ac:dyDescent="0.2">
      <c r="A394" s="525"/>
      <c r="B394" s="495" t="s">
        <v>70</v>
      </c>
      <c r="C394" s="600"/>
      <c r="D394" s="600"/>
      <c r="E394" s="600"/>
      <c r="F394" s="600"/>
      <c r="G394" s="600"/>
      <c r="H394" s="600"/>
      <c r="I394" s="524">
        <f>I388</f>
        <v>134</v>
      </c>
      <c r="J394" s="525"/>
      <c r="K394" s="111" t="s">
        <v>117</v>
      </c>
      <c r="L394" s="85">
        <f>0.126*2/1000</f>
        <v>2.52E-4</v>
      </c>
      <c r="M394" s="73" t="s">
        <v>69</v>
      </c>
      <c r="N394" s="182" t="s">
        <v>36</v>
      </c>
      <c r="O394" s="36">
        <f>I394*L394</f>
        <v>3.4000000000000002E-2</v>
      </c>
      <c r="P394" s="32" t="s">
        <v>65</v>
      </c>
      <c r="R394" s="20"/>
      <c r="S394" s="20"/>
      <c r="T394" s="21"/>
      <c r="U394" s="20"/>
    </row>
    <row r="395" spans="1:21" s="14" customFormat="1" ht="12" hidden="1" customHeight="1" x14ac:dyDescent="0.2">
      <c r="A395" s="525"/>
      <c r="B395" s="495"/>
      <c r="C395" s="600"/>
      <c r="D395" s="600"/>
      <c r="E395" s="600"/>
      <c r="F395" s="600"/>
      <c r="G395" s="600"/>
      <c r="H395" s="600"/>
      <c r="I395" s="524"/>
      <c r="J395" s="525"/>
      <c r="K395" s="111" t="s">
        <v>118</v>
      </c>
      <c r="L395" s="85">
        <f>0.015*2</f>
        <v>0.03</v>
      </c>
      <c r="M395" s="73" t="s">
        <v>61</v>
      </c>
      <c r="N395" s="182" t="s">
        <v>31</v>
      </c>
      <c r="O395" s="34">
        <f>I394*L395</f>
        <v>4.0199999999999996</v>
      </c>
      <c r="P395" s="32" t="s">
        <v>65</v>
      </c>
      <c r="R395" s="20"/>
      <c r="S395" s="20"/>
      <c r="T395" s="21"/>
      <c r="U395" s="20"/>
    </row>
    <row r="396" spans="1:21" s="14" customFormat="1" ht="27.75" hidden="1" customHeight="1" x14ac:dyDescent="0.2">
      <c r="A396" s="593">
        <v>47</v>
      </c>
      <c r="B396" s="334" t="s">
        <v>237</v>
      </c>
      <c r="C396" s="89" t="s">
        <v>173</v>
      </c>
      <c r="D396" s="88"/>
      <c r="E396" s="88"/>
      <c r="F396" s="88"/>
      <c r="G396" s="88"/>
      <c r="H396" s="249">
        <v>140</v>
      </c>
      <c r="I396" s="88"/>
      <c r="J396" s="88"/>
      <c r="K396" s="77"/>
      <c r="L396" s="77"/>
      <c r="M396" s="77"/>
      <c r="N396" s="77"/>
      <c r="O396" s="88"/>
      <c r="P396" s="88"/>
      <c r="R396" s="20"/>
      <c r="S396" s="20"/>
      <c r="T396" s="21"/>
      <c r="U396" s="20"/>
    </row>
    <row r="397" spans="1:21" s="14" customFormat="1" ht="27.75" hidden="1" customHeight="1" x14ac:dyDescent="0.2">
      <c r="A397" s="594"/>
      <c r="B397" s="333" t="s">
        <v>38</v>
      </c>
      <c r="C397" s="89"/>
      <c r="D397" s="88"/>
      <c r="E397" s="88"/>
      <c r="F397" s="88"/>
      <c r="G397" s="88"/>
      <c r="H397" s="88"/>
      <c r="I397" s="220">
        <v>80</v>
      </c>
      <c r="J397" s="88"/>
      <c r="K397" s="77"/>
      <c r="L397" s="77"/>
      <c r="M397" s="77"/>
      <c r="N397" s="77"/>
      <c r="O397" s="88"/>
      <c r="P397" s="88"/>
      <c r="R397" s="20"/>
      <c r="S397" s="20"/>
      <c r="T397" s="21"/>
      <c r="U397" s="20"/>
    </row>
    <row r="398" spans="1:21" s="14" customFormat="1" ht="42" hidden="1" customHeight="1" x14ac:dyDescent="0.2">
      <c r="A398" s="594"/>
      <c r="B398" s="327" t="s">
        <v>87</v>
      </c>
      <c r="C398" s="89"/>
      <c r="D398" s="497" t="s">
        <v>28</v>
      </c>
      <c r="E398" s="498"/>
      <c r="F398" s="88"/>
      <c r="G398" s="88"/>
      <c r="H398" s="88"/>
      <c r="I398" s="90"/>
      <c r="J398" s="34">
        <f>J399</f>
        <v>11.2</v>
      </c>
      <c r="K398" s="77"/>
      <c r="L398" s="77"/>
      <c r="M398" s="77"/>
      <c r="N398" s="77"/>
      <c r="O398" s="88"/>
      <c r="P398" s="88"/>
      <c r="R398" s="20"/>
      <c r="S398" s="20"/>
      <c r="T398" s="21"/>
      <c r="U398" s="20"/>
    </row>
    <row r="399" spans="1:21" s="14" customFormat="1" ht="36" hidden="1" customHeight="1" x14ac:dyDescent="0.2">
      <c r="A399" s="594"/>
      <c r="B399" s="430" t="s">
        <v>80</v>
      </c>
      <c r="C399" s="424"/>
      <c r="D399" s="534" t="s">
        <v>28</v>
      </c>
      <c r="E399" s="535"/>
      <c r="F399" s="404" t="s">
        <v>50</v>
      </c>
      <c r="G399" s="417" t="s">
        <v>213</v>
      </c>
      <c r="H399" s="440">
        <v>100</v>
      </c>
      <c r="I399" s="424"/>
      <c r="J399" s="444">
        <f>H396*(I401/1000)</f>
        <v>11.2</v>
      </c>
      <c r="K399" s="73" t="s">
        <v>81</v>
      </c>
      <c r="L399" s="34">
        <v>1.24</v>
      </c>
      <c r="M399" s="227" t="s">
        <v>201</v>
      </c>
      <c r="N399" s="88" t="s">
        <v>135</v>
      </c>
      <c r="O399" s="34">
        <f>J399*L399</f>
        <v>13.89</v>
      </c>
      <c r="P399" s="312" t="s">
        <v>65</v>
      </c>
      <c r="R399" s="20"/>
      <c r="S399" s="20"/>
      <c r="T399" s="21"/>
      <c r="U399" s="20"/>
    </row>
    <row r="400" spans="1:21" s="14" customFormat="1" ht="27.75" hidden="1" customHeight="1" x14ac:dyDescent="0.2">
      <c r="A400" s="594"/>
      <c r="B400" s="430"/>
      <c r="C400" s="425"/>
      <c r="D400" s="536"/>
      <c r="E400" s="537"/>
      <c r="F400" s="406"/>
      <c r="G400" s="418"/>
      <c r="H400" s="441"/>
      <c r="I400" s="425"/>
      <c r="J400" s="445"/>
      <c r="K400" s="73" t="s">
        <v>82</v>
      </c>
      <c r="L400" s="88">
        <f>2.5/1000</f>
        <v>2.5000000000000001E-3</v>
      </c>
      <c r="M400" s="226" t="s">
        <v>200</v>
      </c>
      <c r="N400" s="88" t="s">
        <v>36</v>
      </c>
      <c r="O400" s="36">
        <f>J399*L400</f>
        <v>2.8000000000000001E-2</v>
      </c>
      <c r="P400" s="312" t="s">
        <v>65</v>
      </c>
      <c r="R400" s="20"/>
      <c r="S400" s="20"/>
      <c r="T400" s="21"/>
      <c r="U400" s="20"/>
    </row>
    <row r="401" spans="1:21" s="14" customFormat="1" ht="31.5" hidden="1" customHeight="1" x14ac:dyDescent="0.2">
      <c r="A401" s="594"/>
      <c r="B401" s="504" t="s">
        <v>42</v>
      </c>
      <c r="C401" s="424"/>
      <c r="D401" s="424"/>
      <c r="E401" s="424"/>
      <c r="F401" s="417" t="s">
        <v>213</v>
      </c>
      <c r="G401" s="424"/>
      <c r="H401" s="424"/>
      <c r="I401" s="442">
        <f>I397</f>
        <v>80</v>
      </c>
      <c r="J401" s="424"/>
      <c r="K401" s="183" t="s">
        <v>89</v>
      </c>
      <c r="L401" s="49">
        <f>4.6/1000</f>
        <v>4.5999999999999999E-3</v>
      </c>
      <c r="M401" s="225" t="s">
        <v>199</v>
      </c>
      <c r="N401" s="88" t="s">
        <v>36</v>
      </c>
      <c r="O401" s="36">
        <f>I401*L401</f>
        <v>0.36799999999999999</v>
      </c>
      <c r="P401" s="312" t="s">
        <v>65</v>
      </c>
      <c r="R401" s="20"/>
      <c r="S401" s="20"/>
      <c r="T401" s="21"/>
      <c r="U401" s="20"/>
    </row>
    <row r="402" spans="1:21" s="14" customFormat="1" ht="31.5" hidden="1" customHeight="1" x14ac:dyDescent="0.2">
      <c r="A402" s="595"/>
      <c r="B402" s="599"/>
      <c r="C402" s="425"/>
      <c r="D402" s="425"/>
      <c r="E402" s="425"/>
      <c r="F402" s="418"/>
      <c r="G402" s="425"/>
      <c r="H402" s="425"/>
      <c r="I402" s="443"/>
      <c r="J402" s="425"/>
      <c r="K402" s="184" t="s">
        <v>90</v>
      </c>
      <c r="L402" s="185">
        <f>0.015/1000</f>
        <v>1.5E-5</v>
      </c>
      <c r="M402" s="225" t="s">
        <v>198</v>
      </c>
      <c r="N402" s="83" t="s">
        <v>36</v>
      </c>
      <c r="O402" s="189">
        <f>I401*L402</f>
        <v>1.1999999999999999E-3</v>
      </c>
      <c r="P402" s="312" t="s">
        <v>65</v>
      </c>
      <c r="R402" s="20"/>
      <c r="S402" s="20"/>
      <c r="T402" s="21"/>
      <c r="U402" s="20"/>
    </row>
    <row r="403" spans="1:21" s="14" customFormat="1" ht="33.75" hidden="1" customHeight="1" x14ac:dyDescent="0.2">
      <c r="A403" s="593">
        <v>48</v>
      </c>
      <c r="B403" s="292" t="s">
        <v>275</v>
      </c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R403" s="20"/>
      <c r="S403" s="20"/>
      <c r="T403" s="21"/>
      <c r="U403" s="20"/>
    </row>
    <row r="404" spans="1:21" s="14" customFormat="1" ht="20.25" hidden="1" customHeight="1" x14ac:dyDescent="0.2">
      <c r="A404" s="595"/>
      <c r="B404" s="117" t="s">
        <v>47</v>
      </c>
      <c r="C404" s="137">
        <v>900</v>
      </c>
      <c r="D404" s="525"/>
      <c r="E404" s="525"/>
      <c r="F404" s="88"/>
      <c r="G404" s="88"/>
      <c r="H404" s="88"/>
      <c r="I404" s="88"/>
      <c r="J404" s="88">
        <v>10</v>
      </c>
      <c r="K404" s="88"/>
      <c r="L404" s="88"/>
      <c r="M404" s="77"/>
      <c r="N404" s="85"/>
      <c r="O404" s="85"/>
      <c r="P404" s="85"/>
      <c r="R404" s="20"/>
      <c r="S404" s="20"/>
      <c r="T404" s="21"/>
      <c r="U404" s="20"/>
    </row>
    <row r="405" spans="1:21" s="14" customFormat="1" ht="25.5" x14ac:dyDescent="0.2">
      <c r="A405" s="593">
        <v>1</v>
      </c>
      <c r="B405" s="293" t="s">
        <v>278</v>
      </c>
      <c r="C405" s="137"/>
      <c r="D405" s="350"/>
      <c r="E405" s="351"/>
      <c r="F405" s="339"/>
      <c r="G405" s="339"/>
      <c r="H405" s="339"/>
      <c r="I405" s="339"/>
      <c r="J405" s="339"/>
      <c r="K405" s="339"/>
      <c r="L405" s="339"/>
      <c r="M405" s="347"/>
      <c r="N405" s="346"/>
      <c r="O405" s="346"/>
      <c r="P405" s="346"/>
      <c r="R405" s="20"/>
      <c r="S405" s="20"/>
      <c r="T405" s="21"/>
      <c r="U405" s="20"/>
    </row>
    <row r="406" spans="1:21" s="14" customFormat="1" ht="25.5" x14ac:dyDescent="0.2">
      <c r="A406" s="594"/>
      <c r="B406" s="327" t="s">
        <v>123</v>
      </c>
      <c r="C406" s="137"/>
      <c r="D406" s="615" t="s">
        <v>28</v>
      </c>
      <c r="E406" s="616"/>
      <c r="F406" s="356" t="s">
        <v>46</v>
      </c>
      <c r="G406" s="339"/>
      <c r="H406" s="339"/>
      <c r="I406" s="342">
        <f>I407</f>
        <v>102</v>
      </c>
      <c r="J406" s="342">
        <f>J407</f>
        <v>35.700000000000003</v>
      </c>
      <c r="K406" s="339"/>
      <c r="L406" s="339"/>
      <c r="M406" s="347"/>
      <c r="N406" s="346"/>
      <c r="O406" s="346"/>
      <c r="P406" s="346"/>
      <c r="R406" s="20"/>
      <c r="S406" s="20"/>
      <c r="T406" s="21"/>
      <c r="U406" s="20"/>
    </row>
    <row r="407" spans="1:21" s="14" customFormat="1" ht="16.5" customHeight="1" x14ac:dyDescent="0.2">
      <c r="A407" s="594"/>
      <c r="B407" s="495" t="s">
        <v>122</v>
      </c>
      <c r="C407" s="433" t="s">
        <v>48</v>
      </c>
      <c r="D407" s="525" t="s">
        <v>28</v>
      </c>
      <c r="E407" s="525"/>
      <c r="F407" s="626" t="s">
        <v>46</v>
      </c>
      <c r="G407" s="409"/>
      <c r="H407" s="525">
        <v>350</v>
      </c>
      <c r="I407" s="630">
        <v>102</v>
      </c>
      <c r="J407" s="614">
        <f>I407*H407/1000</f>
        <v>35.700000000000003</v>
      </c>
      <c r="K407" s="345" t="s">
        <v>239</v>
      </c>
      <c r="L407" s="346">
        <v>1.19</v>
      </c>
      <c r="M407" s="138" t="s">
        <v>208</v>
      </c>
      <c r="N407" s="346" t="s">
        <v>36</v>
      </c>
      <c r="O407" s="113">
        <f>J407*0.13*L407</f>
        <v>5.5229999999999997</v>
      </c>
      <c r="P407" s="345" t="s">
        <v>187</v>
      </c>
      <c r="Q407" s="141"/>
      <c r="R407" s="20"/>
      <c r="S407" s="20"/>
      <c r="T407" s="21"/>
      <c r="U407" s="20"/>
    </row>
    <row r="408" spans="1:21" s="14" customFormat="1" ht="25.5" x14ac:dyDescent="0.2">
      <c r="A408" s="594"/>
      <c r="B408" s="495"/>
      <c r="C408" s="433"/>
      <c r="D408" s="525"/>
      <c r="E408" s="525"/>
      <c r="F408" s="626"/>
      <c r="G408" s="409"/>
      <c r="H408" s="525"/>
      <c r="I408" s="630"/>
      <c r="J408" s="614"/>
      <c r="K408" s="345" t="s">
        <v>124</v>
      </c>
      <c r="L408" s="346">
        <f>4.29/1000</f>
        <v>4.2900000000000004E-3</v>
      </c>
      <c r="M408" s="52" t="s">
        <v>209</v>
      </c>
      <c r="N408" s="346" t="s">
        <v>36</v>
      </c>
      <c r="O408" s="139">
        <f>J407*L408</f>
        <v>0.1532</v>
      </c>
      <c r="P408" s="356" t="s">
        <v>293</v>
      </c>
      <c r="R408" s="20"/>
      <c r="S408" s="20"/>
      <c r="T408" s="21"/>
      <c r="U408" s="20"/>
    </row>
    <row r="409" spans="1:21" s="14" customFormat="1" ht="25.5" x14ac:dyDescent="0.2">
      <c r="A409" s="594"/>
      <c r="B409" s="340" t="s">
        <v>125</v>
      </c>
      <c r="C409" s="338"/>
      <c r="D409" s="615" t="s">
        <v>28</v>
      </c>
      <c r="E409" s="616"/>
      <c r="F409" s="356" t="s">
        <v>46</v>
      </c>
      <c r="G409" s="339"/>
      <c r="H409" s="346"/>
      <c r="I409" s="353">
        <v>102</v>
      </c>
      <c r="J409" s="354">
        <f>J410</f>
        <v>35.700000000000003</v>
      </c>
      <c r="K409" s="343"/>
      <c r="L409" s="346"/>
      <c r="M409" s="138"/>
      <c r="N409" s="346"/>
      <c r="O409" s="139"/>
      <c r="P409" s="356"/>
      <c r="R409" s="20"/>
      <c r="S409" s="20"/>
      <c r="T409" s="21"/>
      <c r="U409" s="20"/>
    </row>
    <row r="410" spans="1:21" s="14" customFormat="1" ht="16.5" customHeight="1" x14ac:dyDescent="0.2">
      <c r="A410" s="594"/>
      <c r="B410" s="504" t="s">
        <v>188</v>
      </c>
      <c r="C410" s="424" t="s">
        <v>48</v>
      </c>
      <c r="D410" s="587" t="s">
        <v>28</v>
      </c>
      <c r="E410" s="588"/>
      <c r="F410" s="617" t="s">
        <v>46</v>
      </c>
      <c r="G410" s="440"/>
      <c r="H410" s="593">
        <v>350</v>
      </c>
      <c r="I410" s="479">
        <v>102</v>
      </c>
      <c r="J410" s="596">
        <f>I410*H410/1000</f>
        <v>35.700000000000003</v>
      </c>
      <c r="K410" s="345" t="s">
        <v>239</v>
      </c>
      <c r="L410" s="346">
        <v>1.19</v>
      </c>
      <c r="M410" s="138" t="s">
        <v>208</v>
      </c>
      <c r="N410" s="346" t="s">
        <v>36</v>
      </c>
      <c r="O410" s="113">
        <f>J410*0.13*L410</f>
        <v>5.5229999999999997</v>
      </c>
      <c r="P410" s="356" t="s">
        <v>71</v>
      </c>
      <c r="Q410" s="15"/>
      <c r="R410" s="20"/>
      <c r="S410" s="20"/>
      <c r="T410" s="21"/>
      <c r="U410" s="20"/>
    </row>
    <row r="411" spans="1:21" s="14" customFormat="1" ht="25.5" x14ac:dyDescent="0.2">
      <c r="A411" s="594"/>
      <c r="B411" s="506"/>
      <c r="C411" s="425"/>
      <c r="D411" s="591"/>
      <c r="E411" s="592"/>
      <c r="F411" s="618"/>
      <c r="G411" s="441"/>
      <c r="H411" s="595"/>
      <c r="I411" s="481"/>
      <c r="J411" s="598"/>
      <c r="K411" s="345" t="s">
        <v>124</v>
      </c>
      <c r="L411" s="346">
        <f>4.29/1000</f>
        <v>4.2900000000000004E-3</v>
      </c>
      <c r="M411" s="52" t="s">
        <v>209</v>
      </c>
      <c r="N411" s="346" t="s">
        <v>36</v>
      </c>
      <c r="O411" s="139">
        <f>J410*L411</f>
        <v>0.1532</v>
      </c>
      <c r="P411" s="374" t="s">
        <v>293</v>
      </c>
      <c r="R411" s="20"/>
      <c r="S411" s="20"/>
      <c r="T411" s="21"/>
      <c r="U411" s="20"/>
    </row>
    <row r="412" spans="1:21" s="14" customFormat="1" ht="17.25" customHeight="1" x14ac:dyDescent="0.2">
      <c r="A412" s="594"/>
      <c r="B412" s="504" t="s">
        <v>49</v>
      </c>
      <c r="C412" s="469" t="s">
        <v>48</v>
      </c>
      <c r="D412" s="587"/>
      <c r="E412" s="588"/>
      <c r="F412" s="611" t="s">
        <v>241</v>
      </c>
      <c r="G412" s="440"/>
      <c r="H412" s="440"/>
      <c r="I412" s="596">
        <v>205</v>
      </c>
      <c r="J412" s="440"/>
      <c r="K412" s="373" t="s">
        <v>291</v>
      </c>
      <c r="L412" s="372">
        <f>51.45/1000</f>
        <v>5.1450000000000003E-2</v>
      </c>
      <c r="M412" s="52" t="s">
        <v>240</v>
      </c>
      <c r="N412" s="346" t="s">
        <v>36</v>
      </c>
      <c r="O412" s="113">
        <f>J414*L412</f>
        <v>0.52700000000000002</v>
      </c>
      <c r="P412" s="356" t="s">
        <v>294</v>
      </c>
      <c r="R412" s="20"/>
      <c r="S412" s="20"/>
      <c r="T412" s="21"/>
      <c r="U412" s="20"/>
    </row>
    <row r="413" spans="1:21" s="14" customFormat="1" ht="25.5" x14ac:dyDescent="0.2">
      <c r="A413" s="594"/>
      <c r="B413" s="506"/>
      <c r="C413" s="470"/>
      <c r="D413" s="591"/>
      <c r="E413" s="592"/>
      <c r="F413" s="612"/>
      <c r="G413" s="441"/>
      <c r="H413" s="441"/>
      <c r="I413" s="598"/>
      <c r="J413" s="441"/>
      <c r="K413" s="373" t="s">
        <v>291</v>
      </c>
      <c r="L413" s="372">
        <f>40.5/1000</f>
        <v>4.0500000000000001E-2</v>
      </c>
      <c r="M413" s="52" t="s">
        <v>209</v>
      </c>
      <c r="N413" s="372" t="s">
        <v>36</v>
      </c>
      <c r="O413" s="113">
        <f>J414*L413</f>
        <v>0.41499999999999998</v>
      </c>
      <c r="P413" s="374" t="s">
        <v>293</v>
      </c>
      <c r="Q413" s="15"/>
      <c r="R413" s="20"/>
      <c r="S413" s="20"/>
      <c r="T413" s="21"/>
      <c r="U413" s="20"/>
    </row>
    <row r="414" spans="1:21" s="14" customFormat="1" ht="25.5" x14ac:dyDescent="0.2">
      <c r="A414" s="594"/>
      <c r="B414" s="341" t="s">
        <v>215</v>
      </c>
      <c r="C414" s="352"/>
      <c r="D414" s="348"/>
      <c r="E414" s="349"/>
      <c r="F414" s="355"/>
      <c r="G414" s="344"/>
      <c r="H414" s="344">
        <f>H415</f>
        <v>50</v>
      </c>
      <c r="I414" s="319">
        <f>I415</f>
        <v>205</v>
      </c>
      <c r="J414" s="337">
        <f>J415</f>
        <v>10.25</v>
      </c>
      <c r="K414" s="368"/>
      <c r="L414" s="350"/>
      <c r="M414" s="52"/>
      <c r="N414" s="346"/>
      <c r="O414" s="369"/>
      <c r="P414" s="350"/>
      <c r="Q414" s="15"/>
      <c r="R414" s="20"/>
      <c r="S414" s="20"/>
      <c r="T414" s="21"/>
      <c r="U414" s="20"/>
    </row>
    <row r="415" spans="1:21" s="14" customFormat="1" ht="16.5" customHeight="1" x14ac:dyDescent="0.2">
      <c r="A415" s="594"/>
      <c r="B415" s="504" t="s">
        <v>186</v>
      </c>
      <c r="C415" s="424" t="s">
        <v>48</v>
      </c>
      <c r="D415" s="587"/>
      <c r="E415" s="588"/>
      <c r="F415" s="474" t="s">
        <v>37</v>
      </c>
      <c r="G415" s="440"/>
      <c r="H415" s="593">
        <v>50</v>
      </c>
      <c r="I415" s="596">
        <v>205</v>
      </c>
      <c r="J415" s="593">
        <f>I415*H415/1000</f>
        <v>10.25</v>
      </c>
      <c r="K415" s="345" t="s">
        <v>101</v>
      </c>
      <c r="L415" s="346">
        <v>0.78300000000000003</v>
      </c>
      <c r="M415" s="138" t="s">
        <v>53</v>
      </c>
      <c r="N415" s="343" t="s">
        <v>36</v>
      </c>
      <c r="O415" s="140">
        <f>J415*L415*L416</f>
        <v>8.1859999999999999</v>
      </c>
      <c r="P415" s="356" t="s">
        <v>71</v>
      </c>
      <c r="Q415" s="15"/>
      <c r="R415" s="20"/>
      <c r="S415" s="20"/>
      <c r="T415" s="21"/>
      <c r="U415" s="20"/>
    </row>
    <row r="416" spans="1:21" s="14" customFormat="1" ht="25.5" x14ac:dyDescent="0.2">
      <c r="A416" s="594"/>
      <c r="B416" s="505"/>
      <c r="C416" s="456"/>
      <c r="D416" s="589"/>
      <c r="E416" s="590"/>
      <c r="F416" s="474"/>
      <c r="G416" s="522"/>
      <c r="H416" s="594"/>
      <c r="I416" s="597"/>
      <c r="J416" s="594"/>
      <c r="K416" s="345" t="s">
        <v>102</v>
      </c>
      <c r="L416" s="346">
        <v>1.02</v>
      </c>
      <c r="M416" s="52" t="s">
        <v>194</v>
      </c>
      <c r="N416" s="138"/>
      <c r="O416" s="138"/>
      <c r="P416" s="356"/>
      <c r="R416" s="20"/>
      <c r="S416" s="20"/>
      <c r="T416" s="21"/>
      <c r="U416" s="20"/>
    </row>
    <row r="417" spans="1:21" s="14" customFormat="1" ht="15" customHeight="1" x14ac:dyDescent="0.2">
      <c r="A417" s="594"/>
      <c r="B417" s="505"/>
      <c r="C417" s="456"/>
      <c r="D417" s="589"/>
      <c r="E417" s="590"/>
      <c r="F417" s="474"/>
      <c r="G417" s="522"/>
      <c r="H417" s="594"/>
      <c r="I417" s="597"/>
      <c r="J417" s="594"/>
      <c r="K417" s="345" t="s">
        <v>103</v>
      </c>
      <c r="L417" s="346">
        <v>0.78300000000000003</v>
      </c>
      <c r="M417" s="138" t="s">
        <v>54</v>
      </c>
      <c r="N417" s="343" t="s">
        <v>36</v>
      </c>
      <c r="O417" s="140">
        <f>J415*L417*L418</f>
        <v>8.1859999999999999</v>
      </c>
      <c r="P417" s="356" t="s">
        <v>71</v>
      </c>
      <c r="R417" s="20"/>
      <c r="S417" s="20"/>
      <c r="T417" s="21"/>
      <c r="U417" s="20"/>
    </row>
    <row r="418" spans="1:21" s="14" customFormat="1" ht="16.5" customHeight="1" x14ac:dyDescent="0.2">
      <c r="A418" s="594"/>
      <c r="B418" s="505"/>
      <c r="C418" s="456"/>
      <c r="D418" s="589"/>
      <c r="E418" s="590"/>
      <c r="F418" s="474"/>
      <c r="G418" s="522"/>
      <c r="H418" s="594"/>
      <c r="I418" s="597"/>
      <c r="J418" s="594"/>
      <c r="K418" s="345" t="s">
        <v>102</v>
      </c>
      <c r="L418" s="346">
        <v>1.02</v>
      </c>
      <c r="M418" s="138" t="s">
        <v>55</v>
      </c>
      <c r="N418" s="138"/>
      <c r="O418" s="138"/>
      <c r="P418" s="356"/>
      <c r="R418" s="20"/>
      <c r="S418" s="20"/>
      <c r="T418" s="21"/>
      <c r="U418" s="20"/>
    </row>
    <row r="419" spans="1:21" s="14" customFormat="1" ht="14.25" customHeight="1" x14ac:dyDescent="0.2">
      <c r="A419" s="594"/>
      <c r="B419" s="505"/>
      <c r="C419" s="456"/>
      <c r="D419" s="589"/>
      <c r="E419" s="590"/>
      <c r="F419" s="474"/>
      <c r="G419" s="522"/>
      <c r="H419" s="594"/>
      <c r="I419" s="597"/>
      <c r="J419" s="594"/>
      <c r="K419" s="345" t="s">
        <v>104</v>
      </c>
      <c r="L419" s="346">
        <v>0.308</v>
      </c>
      <c r="M419" s="138" t="s">
        <v>56</v>
      </c>
      <c r="N419" s="343"/>
      <c r="O419" s="110"/>
      <c r="P419" s="356" t="s">
        <v>71</v>
      </c>
      <c r="R419" s="20"/>
      <c r="S419" s="20"/>
      <c r="T419" s="21"/>
      <c r="U419" s="20"/>
    </row>
    <row r="420" spans="1:21" s="14" customFormat="1" ht="15.75" customHeight="1" x14ac:dyDescent="0.2">
      <c r="A420" s="595"/>
      <c r="B420" s="506"/>
      <c r="C420" s="425"/>
      <c r="D420" s="591"/>
      <c r="E420" s="592"/>
      <c r="F420" s="474"/>
      <c r="G420" s="441"/>
      <c r="H420" s="595"/>
      <c r="I420" s="598"/>
      <c r="J420" s="595"/>
      <c r="K420" s="345" t="s">
        <v>102</v>
      </c>
      <c r="L420" s="346">
        <v>1.02</v>
      </c>
      <c r="M420" s="138" t="s">
        <v>105</v>
      </c>
      <c r="N420" s="343" t="s">
        <v>36</v>
      </c>
      <c r="O420" s="140">
        <f>J415*L419*L420</f>
        <v>3.22</v>
      </c>
      <c r="P420" s="356"/>
      <c r="R420" s="20"/>
      <c r="S420" s="20"/>
      <c r="T420" s="21"/>
      <c r="U420" s="20"/>
    </row>
    <row r="421" spans="1:21" s="14" customFormat="1" ht="18.75" customHeight="1" x14ac:dyDescent="0.25">
      <c r="A421" s="375"/>
      <c r="B421" s="357" t="s">
        <v>280</v>
      </c>
      <c r="D421" s="358" t="s">
        <v>281</v>
      </c>
      <c r="E421" s="376"/>
      <c r="F421" s="376"/>
      <c r="G421" s="376"/>
      <c r="H421" s="377"/>
      <c r="I421" s="376"/>
      <c r="J421" s="378"/>
      <c r="K421" s="376"/>
      <c r="L421" s="379"/>
      <c r="M421" s="376"/>
      <c r="N421" s="380"/>
      <c r="O421" s="376"/>
      <c r="P421" s="381"/>
      <c r="Q421" s="382"/>
    </row>
    <row r="422" spans="1:21" s="14" customFormat="1" ht="11.25" customHeight="1" x14ac:dyDescent="0.2">
      <c r="A422" s="375"/>
      <c r="B422" s="358"/>
      <c r="C422" s="358"/>
      <c r="D422" s="358"/>
      <c r="E422" s="358"/>
      <c r="F422" s="358"/>
      <c r="G422" s="358"/>
      <c r="H422" s="358"/>
      <c r="I422" s="383"/>
      <c r="J422" s="383"/>
      <c r="K422" s="383"/>
      <c r="L422" s="383"/>
      <c r="M422" s="383"/>
      <c r="N422" s="383"/>
      <c r="O422" s="384"/>
      <c r="P422" s="358"/>
      <c r="Q422" s="358"/>
    </row>
    <row r="423" spans="1:21" ht="10.5" customHeight="1" x14ac:dyDescent="0.25">
      <c r="A423" s="25"/>
      <c r="B423" s="359"/>
      <c r="C423" s="359"/>
      <c r="D423" s="359"/>
      <c r="E423" s="359"/>
      <c r="F423" s="359"/>
      <c r="G423" s="359"/>
      <c r="H423" s="359"/>
      <c r="I423" s="359"/>
      <c r="J423" s="359"/>
      <c r="K423" s="359"/>
      <c r="L423" s="359"/>
      <c r="M423" s="359"/>
      <c r="N423" s="359"/>
      <c r="O423" s="359"/>
      <c r="P423" s="359"/>
      <c r="Q423" s="359"/>
    </row>
    <row r="424" spans="1:21" ht="20.25" customHeight="1" x14ac:dyDescent="0.25">
      <c r="A424" s="25"/>
      <c r="B424" s="359"/>
      <c r="C424" s="359"/>
      <c r="D424" s="359"/>
      <c r="E424" s="359"/>
      <c r="F424" s="359"/>
      <c r="G424" s="359"/>
      <c r="H424" s="385" t="s">
        <v>282</v>
      </c>
      <c r="I424" s="386"/>
      <c r="J424" s="387"/>
      <c r="K424" s="386"/>
      <c r="L424" s="386"/>
      <c r="M424" s="386"/>
      <c r="N424" s="388"/>
      <c r="O424" s="386"/>
      <c r="P424" s="385" t="s">
        <v>283</v>
      </c>
      <c r="Q424" s="389"/>
    </row>
    <row r="425" spans="1:21" x14ac:dyDescent="0.2">
      <c r="A425" s="2"/>
      <c r="B425" s="3"/>
      <c r="C425" s="4"/>
      <c r="D425" s="2"/>
      <c r="E425" s="2"/>
      <c r="F425" s="2"/>
      <c r="G425" s="2"/>
      <c r="H425" s="2"/>
      <c r="I425" s="5"/>
      <c r="J425" s="2"/>
      <c r="K425" s="23"/>
      <c r="L425" s="23"/>
      <c r="M425" s="6"/>
      <c r="N425" s="2"/>
      <c r="O425" s="2"/>
      <c r="P425" s="2"/>
    </row>
    <row r="426" spans="1:21" x14ac:dyDescent="0.2">
      <c r="A426" s="2"/>
      <c r="B426" s="3"/>
      <c r="C426" s="4"/>
      <c r="D426" s="2"/>
      <c r="E426" s="2"/>
      <c r="F426" s="2"/>
      <c r="G426" s="2"/>
      <c r="H426" s="2"/>
      <c r="I426" s="5"/>
      <c r="J426" s="2"/>
      <c r="K426" s="23"/>
      <c r="L426" s="23"/>
      <c r="M426" s="6"/>
      <c r="N426" s="2"/>
      <c r="O426" s="2"/>
      <c r="P426" s="2"/>
    </row>
    <row r="427" spans="1:21" x14ac:dyDescent="0.2">
      <c r="A427" s="2"/>
      <c r="B427" s="3"/>
      <c r="C427" s="4"/>
      <c r="D427" s="2"/>
      <c r="E427" s="2"/>
      <c r="F427" s="2"/>
      <c r="G427" s="2"/>
      <c r="H427" s="2"/>
      <c r="I427" s="5"/>
      <c r="J427" s="2"/>
      <c r="K427" s="23"/>
      <c r="L427" s="23"/>
      <c r="M427" s="6"/>
      <c r="N427" s="2"/>
      <c r="O427" s="2"/>
      <c r="P427" s="2"/>
    </row>
    <row r="428" spans="1:21" x14ac:dyDescent="0.2">
      <c r="A428" s="2"/>
      <c r="B428" s="3"/>
      <c r="C428" s="4"/>
      <c r="D428" s="2"/>
      <c r="E428" s="2"/>
      <c r="F428" s="2"/>
      <c r="G428" s="2"/>
      <c r="H428" s="2"/>
      <c r="I428" s="5"/>
      <c r="J428" s="2"/>
      <c r="K428" s="23"/>
      <c r="L428" s="23"/>
      <c r="M428" s="7"/>
      <c r="N428" s="2"/>
      <c r="O428" s="2"/>
      <c r="P428" s="2"/>
    </row>
    <row r="429" spans="1:21" x14ac:dyDescent="0.2">
      <c r="A429" s="2"/>
      <c r="B429" s="3"/>
      <c r="C429" s="4"/>
      <c r="D429" s="2"/>
      <c r="E429" s="2"/>
      <c r="F429" s="2"/>
      <c r="G429" s="2"/>
      <c r="H429" s="2"/>
      <c r="I429" s="2"/>
      <c r="J429" s="2"/>
      <c r="K429" s="23"/>
      <c r="L429" s="23"/>
      <c r="M429" s="6"/>
      <c r="N429" s="8"/>
      <c r="O429" s="8"/>
      <c r="P429" s="2"/>
    </row>
    <row r="430" spans="1:21" s="17" customFormat="1" x14ac:dyDescent="0.2">
      <c r="A430" s="2"/>
      <c r="B430" s="9"/>
      <c r="C430" s="10"/>
      <c r="D430" s="2"/>
      <c r="E430" s="2"/>
      <c r="F430" s="2"/>
      <c r="G430" s="2"/>
      <c r="H430" s="2"/>
      <c r="I430" s="2"/>
      <c r="J430" s="2"/>
      <c r="K430" s="23"/>
      <c r="L430" s="23"/>
      <c r="M430" s="4"/>
      <c r="N430" s="2"/>
      <c r="O430" s="2"/>
    </row>
    <row r="431" spans="1:21" s="17" customFormat="1" x14ac:dyDescent="0.2">
      <c r="A431" s="2"/>
      <c r="B431" s="9"/>
      <c r="C431" s="10"/>
      <c r="D431" s="2"/>
      <c r="E431" s="2"/>
      <c r="F431" s="2"/>
      <c r="G431" s="2"/>
      <c r="H431" s="2"/>
      <c r="I431" s="2"/>
      <c r="J431" s="2"/>
      <c r="K431" s="23"/>
      <c r="L431" s="23"/>
      <c r="M431" s="3"/>
      <c r="N431" s="2"/>
      <c r="O431" s="2"/>
      <c r="P431" s="2"/>
    </row>
    <row r="432" spans="1:21" s="17" customFormat="1" x14ac:dyDescent="0.2">
      <c r="A432" s="2"/>
      <c r="B432" s="9"/>
      <c r="C432" s="10"/>
      <c r="D432" s="2"/>
      <c r="E432" s="2"/>
      <c r="F432" s="2"/>
      <c r="G432" s="2"/>
      <c r="H432" s="2"/>
      <c r="I432" s="2"/>
      <c r="J432" s="2"/>
      <c r="K432" s="23"/>
      <c r="L432" s="23"/>
      <c r="M432" s="3"/>
      <c r="N432" s="2"/>
      <c r="O432" s="2"/>
      <c r="P432" s="2"/>
    </row>
    <row r="433" spans="1:16" s="17" customFormat="1" x14ac:dyDescent="0.2">
      <c r="A433" s="2"/>
      <c r="B433" s="9"/>
      <c r="C433" s="10"/>
      <c r="D433" s="2"/>
      <c r="E433" s="2"/>
      <c r="F433" s="2"/>
      <c r="G433" s="2"/>
      <c r="H433" s="2"/>
      <c r="I433" s="2"/>
      <c r="J433" s="2"/>
      <c r="K433" s="23"/>
      <c r="L433" s="23"/>
      <c r="M433" s="3"/>
      <c r="N433" s="2"/>
      <c r="O433" s="11"/>
      <c r="P433" s="2"/>
    </row>
    <row r="434" spans="1:16" s="17" customFormat="1" x14ac:dyDescent="0.2">
      <c r="A434" s="2"/>
      <c r="B434" s="9"/>
      <c r="C434" s="10"/>
      <c r="D434" s="2"/>
      <c r="E434" s="2"/>
      <c r="F434" s="2"/>
      <c r="G434" s="2"/>
      <c r="H434" s="2"/>
      <c r="I434" s="2"/>
      <c r="J434" s="2"/>
      <c r="K434" s="23"/>
      <c r="L434" s="23"/>
      <c r="M434" s="3"/>
      <c r="N434" s="2"/>
      <c r="O434" s="2"/>
      <c r="P434" s="2"/>
    </row>
    <row r="435" spans="1:16" s="17" customFormat="1" x14ac:dyDescent="0.2">
      <c r="A435" s="2"/>
      <c r="B435" s="9"/>
      <c r="C435" s="10"/>
      <c r="D435" s="2"/>
      <c r="E435" s="2"/>
      <c r="F435" s="2"/>
      <c r="G435" s="2"/>
      <c r="H435" s="2"/>
      <c r="I435" s="2"/>
      <c r="J435" s="2"/>
      <c r="K435" s="23"/>
      <c r="L435" s="23"/>
      <c r="M435" s="3"/>
      <c r="N435" s="2"/>
      <c r="O435" s="2"/>
      <c r="P435" s="2"/>
    </row>
    <row r="436" spans="1:16" s="17" customFormat="1" x14ac:dyDescent="0.2">
      <c r="A436" s="2"/>
      <c r="B436" s="9"/>
      <c r="C436" s="10"/>
      <c r="D436" s="2"/>
      <c r="E436" s="2"/>
      <c r="F436" s="2"/>
      <c r="G436" s="2"/>
      <c r="H436" s="2"/>
      <c r="I436" s="2"/>
      <c r="J436" s="2"/>
      <c r="K436" s="23"/>
      <c r="L436" s="23"/>
      <c r="M436" s="3"/>
      <c r="N436" s="2"/>
      <c r="O436" s="12"/>
      <c r="P436" s="2"/>
    </row>
    <row r="437" spans="1:16" s="17" customFormat="1" x14ac:dyDescent="0.2">
      <c r="A437" s="2"/>
      <c r="B437" s="9"/>
      <c r="C437" s="10"/>
      <c r="D437" s="2"/>
      <c r="E437" s="2"/>
      <c r="F437" s="2"/>
      <c r="G437" s="2"/>
      <c r="H437" s="2"/>
      <c r="I437" s="2"/>
      <c r="J437" s="2"/>
      <c r="K437" s="23"/>
      <c r="L437" s="23"/>
      <c r="M437" s="3"/>
      <c r="N437" s="2"/>
      <c r="O437" s="11"/>
      <c r="P437" s="2"/>
    </row>
    <row r="438" spans="1:16" s="17" customFormat="1" x14ac:dyDescent="0.2">
      <c r="A438" s="2"/>
      <c r="B438" s="9"/>
      <c r="C438" s="10"/>
      <c r="D438" s="2"/>
      <c r="E438" s="2"/>
      <c r="F438" s="2"/>
      <c r="G438" s="2"/>
      <c r="H438" s="2"/>
      <c r="I438" s="2"/>
      <c r="J438" s="2"/>
      <c r="K438" s="23"/>
      <c r="L438" s="23"/>
      <c r="M438" s="3"/>
      <c r="N438" s="2"/>
      <c r="O438" s="11"/>
      <c r="P438" s="2"/>
    </row>
    <row r="439" spans="1:16" s="17" customFormat="1" x14ac:dyDescent="0.2">
      <c r="A439" s="2"/>
      <c r="B439" s="9"/>
      <c r="C439" s="10"/>
      <c r="D439" s="2"/>
      <c r="E439" s="2"/>
      <c r="F439" s="2"/>
      <c r="G439" s="2"/>
      <c r="H439" s="2"/>
      <c r="I439" s="2"/>
      <c r="J439" s="2"/>
      <c r="K439" s="23"/>
      <c r="L439" s="23"/>
      <c r="M439" s="3"/>
      <c r="N439" s="2"/>
      <c r="O439" s="2"/>
      <c r="P439" s="2"/>
    </row>
    <row r="440" spans="1:16" s="17" customFormat="1" x14ac:dyDescent="0.2">
      <c r="A440" s="2"/>
      <c r="B440" s="9"/>
      <c r="C440" s="10"/>
      <c r="D440" s="2"/>
      <c r="E440" s="2"/>
      <c r="F440" s="2"/>
      <c r="G440" s="2"/>
      <c r="H440" s="2"/>
      <c r="I440" s="2"/>
      <c r="J440" s="2"/>
      <c r="K440" s="23"/>
      <c r="L440" s="23"/>
      <c r="M440" s="3"/>
      <c r="N440" s="2"/>
      <c r="O440" s="12"/>
      <c r="P440" s="2"/>
    </row>
    <row r="441" spans="1:16" s="17" customFormat="1" x14ac:dyDescent="0.2">
      <c r="A441" s="2"/>
      <c r="B441" s="9"/>
      <c r="C441" s="10"/>
      <c r="D441" s="2"/>
      <c r="E441" s="2"/>
      <c r="F441" s="2"/>
      <c r="G441" s="2"/>
      <c r="H441" s="2"/>
      <c r="I441" s="2"/>
      <c r="J441" s="2"/>
      <c r="K441" s="23"/>
      <c r="L441" s="23"/>
      <c r="M441" s="3"/>
      <c r="N441" s="2"/>
      <c r="O441" s="2"/>
      <c r="P441" s="2"/>
    </row>
    <row r="442" spans="1:16" s="17" customFormat="1" x14ac:dyDescent="0.2">
      <c r="A442" s="2"/>
      <c r="B442" s="9"/>
      <c r="C442" s="10"/>
      <c r="D442" s="2"/>
      <c r="E442" s="2"/>
      <c r="F442" s="2"/>
      <c r="G442" s="2"/>
      <c r="H442" s="2"/>
      <c r="I442" s="2"/>
      <c r="J442" s="2"/>
      <c r="K442" s="23"/>
      <c r="L442" s="23"/>
      <c r="M442" s="3"/>
      <c r="N442" s="2"/>
      <c r="O442" s="11"/>
      <c r="P442" s="2"/>
    </row>
    <row r="443" spans="1:16" s="17" customFormat="1" x14ac:dyDescent="0.2">
      <c r="A443" s="2"/>
      <c r="B443" s="9"/>
      <c r="C443" s="10"/>
      <c r="D443" s="2"/>
      <c r="E443" s="2"/>
      <c r="F443" s="2"/>
      <c r="G443" s="2"/>
      <c r="H443" s="2"/>
      <c r="I443" s="2"/>
      <c r="J443" s="2"/>
      <c r="K443" s="23"/>
      <c r="L443" s="23"/>
      <c r="M443" s="3"/>
      <c r="N443" s="2"/>
      <c r="O443" s="11"/>
      <c r="P443" s="2"/>
    </row>
    <row r="444" spans="1:16" s="17" customFormat="1" x14ac:dyDescent="0.2">
      <c r="A444" s="2"/>
      <c r="B444" s="9"/>
      <c r="C444" s="10"/>
      <c r="D444" s="2"/>
      <c r="E444" s="2"/>
      <c r="F444" s="2"/>
      <c r="G444" s="2"/>
      <c r="H444" s="2"/>
      <c r="I444" s="2"/>
      <c r="J444" s="2"/>
      <c r="K444" s="23"/>
      <c r="L444" s="23"/>
      <c r="M444" s="3"/>
      <c r="N444" s="2"/>
      <c r="O444" s="11"/>
      <c r="P444" s="2"/>
    </row>
    <row r="445" spans="1:16" s="17" customFormat="1" x14ac:dyDescent="0.2">
      <c r="A445" s="2"/>
      <c r="B445" s="9"/>
      <c r="C445" s="10"/>
      <c r="D445" s="2"/>
      <c r="E445" s="2"/>
      <c r="F445" s="2"/>
      <c r="G445" s="2"/>
      <c r="H445" s="2"/>
      <c r="I445" s="2"/>
      <c r="J445" s="2"/>
      <c r="K445" s="23"/>
      <c r="L445" s="23"/>
      <c r="M445" s="3"/>
      <c r="N445" s="2"/>
      <c r="O445" s="2"/>
      <c r="P445" s="2"/>
    </row>
    <row r="446" spans="1:16" s="17" customFormat="1" x14ac:dyDescent="0.2">
      <c r="A446" s="2"/>
      <c r="B446" s="9"/>
      <c r="C446" s="10"/>
      <c r="D446" s="2"/>
      <c r="E446" s="2"/>
      <c r="F446" s="2"/>
      <c r="G446" s="2"/>
      <c r="H446" s="2"/>
      <c r="I446" s="2"/>
      <c r="J446" s="2"/>
      <c r="K446" s="23"/>
      <c r="L446" s="23"/>
      <c r="M446" s="6"/>
      <c r="N446" s="2"/>
      <c r="O446" s="2"/>
      <c r="P446" s="2"/>
    </row>
    <row r="447" spans="1:16" s="17" customFormat="1" x14ac:dyDescent="0.2">
      <c r="A447" s="2"/>
      <c r="C447" s="10"/>
      <c r="D447" s="2"/>
      <c r="E447" s="2"/>
      <c r="F447" s="2"/>
      <c r="G447" s="2"/>
      <c r="H447" s="2"/>
      <c r="I447" s="2"/>
      <c r="J447" s="2"/>
      <c r="K447" s="23"/>
      <c r="L447" s="23"/>
      <c r="M447" s="6"/>
      <c r="N447" s="2"/>
      <c r="O447" s="13"/>
      <c r="P447" s="2"/>
    </row>
    <row r="448" spans="1:16" s="17" customFormat="1" x14ac:dyDescent="0.2">
      <c r="A448" s="2"/>
      <c r="C448" s="10"/>
      <c r="D448" s="2"/>
      <c r="E448" s="2"/>
      <c r="F448" s="2"/>
      <c r="G448" s="16"/>
      <c r="H448" s="16"/>
      <c r="I448" s="1"/>
      <c r="J448" s="1"/>
      <c r="K448" s="1"/>
      <c r="L448" s="1"/>
      <c r="M448" s="16"/>
      <c r="N448" s="2"/>
      <c r="O448" s="13"/>
      <c r="P448" s="2"/>
    </row>
    <row r="449" spans="8:13" x14ac:dyDescent="0.2">
      <c r="H449" s="16"/>
      <c r="M449" s="16"/>
    </row>
    <row r="450" spans="8:13" x14ac:dyDescent="0.2">
      <c r="H450" s="16"/>
      <c r="M450" s="16"/>
    </row>
    <row r="451" spans="8:13" x14ac:dyDescent="0.2">
      <c r="H451" s="16"/>
      <c r="M451" s="16"/>
    </row>
    <row r="452" spans="8:13" x14ac:dyDescent="0.2">
      <c r="H452" s="16"/>
      <c r="M452" s="16"/>
    </row>
    <row r="453" spans="8:13" x14ac:dyDescent="0.2">
      <c r="H453" s="16"/>
      <c r="M453" s="16"/>
    </row>
    <row r="454" spans="8:13" x14ac:dyDescent="0.2">
      <c r="H454" s="16"/>
      <c r="M454" s="16"/>
    </row>
    <row r="455" spans="8:13" x14ac:dyDescent="0.2">
      <c r="H455" s="16"/>
      <c r="M455" s="16"/>
    </row>
    <row r="456" spans="8:13" x14ac:dyDescent="0.2">
      <c r="H456" s="16"/>
      <c r="M456" s="16"/>
    </row>
    <row r="457" spans="8:13" x14ac:dyDescent="0.2">
      <c r="H457" s="16"/>
    </row>
  </sheetData>
  <autoFilter ref="M1:M457"/>
  <mergeCells count="1080">
    <mergeCell ref="I412:I413"/>
    <mergeCell ref="I401:I402"/>
    <mergeCell ref="J399:J400"/>
    <mergeCell ref="H399:H400"/>
    <mergeCell ref="D399:E400"/>
    <mergeCell ref="G399:G400"/>
    <mergeCell ref="F407:F408"/>
    <mergeCell ref="J13:K13"/>
    <mergeCell ref="G356:G357"/>
    <mergeCell ref="H354:H355"/>
    <mergeCell ref="H356:H357"/>
    <mergeCell ref="I344:I345"/>
    <mergeCell ref="F344:F345"/>
    <mergeCell ref="J344:J345"/>
    <mergeCell ref="C348:C349"/>
    <mergeCell ref="B410:B411"/>
    <mergeCell ref="C410:C411"/>
    <mergeCell ref="B356:B357"/>
    <mergeCell ref="B359:B362"/>
    <mergeCell ref="C359:C362"/>
    <mergeCell ref="D359:D362"/>
    <mergeCell ref="E359:E362"/>
    <mergeCell ref="F359:F362"/>
    <mergeCell ref="G359:G362"/>
    <mergeCell ref="H359:H362"/>
    <mergeCell ref="I359:I362"/>
    <mergeCell ref="H410:H411"/>
    <mergeCell ref="I410:I411"/>
    <mergeCell ref="J410:J411"/>
    <mergeCell ref="B380:B381"/>
    <mergeCell ref="H407:H408"/>
    <mergeCell ref="I407:I408"/>
    <mergeCell ref="J407:J408"/>
    <mergeCell ref="D406:E406"/>
    <mergeCell ref="F410:F411"/>
    <mergeCell ref="G410:G411"/>
    <mergeCell ref="E373:E379"/>
    <mergeCell ref="F373:F379"/>
    <mergeCell ref="F415:F420"/>
    <mergeCell ref="F401:F402"/>
    <mergeCell ref="F399:F400"/>
    <mergeCell ref="E394:E395"/>
    <mergeCell ref="A127:A134"/>
    <mergeCell ref="A172:A181"/>
    <mergeCell ref="A207:A214"/>
    <mergeCell ref="A215:A219"/>
    <mergeCell ref="A220:A227"/>
    <mergeCell ref="A269:A275"/>
    <mergeCell ref="A257:A263"/>
    <mergeCell ref="A350:A357"/>
    <mergeCell ref="A358:A362"/>
    <mergeCell ref="A363:A381"/>
    <mergeCell ref="A403:A404"/>
    <mergeCell ref="A405:A420"/>
    <mergeCell ref="J401:J402"/>
    <mergeCell ref="D404:E404"/>
    <mergeCell ref="B373:B379"/>
    <mergeCell ref="J415:J420"/>
    <mergeCell ref="G344:G345"/>
    <mergeCell ref="I336:I337"/>
    <mergeCell ref="D336:D337"/>
    <mergeCell ref="J412:J413"/>
    <mergeCell ref="D410:E411"/>
    <mergeCell ref="D409:E409"/>
    <mergeCell ref="C338:C339"/>
    <mergeCell ref="F336:F337"/>
    <mergeCell ref="E338:E339"/>
    <mergeCell ref="B415:B420"/>
    <mergeCell ref="C373:C379"/>
    <mergeCell ref="G373:G379"/>
    <mergeCell ref="H373:H379"/>
    <mergeCell ref="C399:C400"/>
    <mergeCell ref="C401:C402"/>
    <mergeCell ref="D401:D402"/>
    <mergeCell ref="E401:E402"/>
    <mergeCell ref="G401:G402"/>
    <mergeCell ref="H401:H402"/>
    <mergeCell ref="B412:B413"/>
    <mergeCell ref="C412:C413"/>
    <mergeCell ref="D412:E413"/>
    <mergeCell ref="F412:F413"/>
    <mergeCell ref="G412:G413"/>
    <mergeCell ref="H412:H413"/>
    <mergeCell ref="H394:H395"/>
    <mergeCell ref="F394:F395"/>
    <mergeCell ref="G394:G395"/>
    <mergeCell ref="C352:C353"/>
    <mergeCell ref="D352:E353"/>
    <mergeCell ref="C388:C393"/>
    <mergeCell ref="D388:D393"/>
    <mergeCell ref="E388:E393"/>
    <mergeCell ref="G407:G408"/>
    <mergeCell ref="B336:B337"/>
    <mergeCell ref="C336:C337"/>
    <mergeCell ref="B354:B355"/>
    <mergeCell ref="B352:B353"/>
    <mergeCell ref="F388:F393"/>
    <mergeCell ref="J348:J349"/>
    <mergeCell ref="H348:H349"/>
    <mergeCell ref="G346:G347"/>
    <mergeCell ref="F348:F349"/>
    <mergeCell ref="D348:D349"/>
    <mergeCell ref="E346:E347"/>
    <mergeCell ref="F338:F339"/>
    <mergeCell ref="H334:H335"/>
    <mergeCell ref="J334:J335"/>
    <mergeCell ref="F352:F353"/>
    <mergeCell ref="I346:I347"/>
    <mergeCell ref="F346:F347"/>
    <mergeCell ref="H346:H347"/>
    <mergeCell ref="D338:D339"/>
    <mergeCell ref="J338:J339"/>
    <mergeCell ref="E336:E337"/>
    <mergeCell ref="H338:H339"/>
    <mergeCell ref="G338:G339"/>
    <mergeCell ref="G336:G337"/>
    <mergeCell ref="H336:H337"/>
    <mergeCell ref="J336:J337"/>
    <mergeCell ref="I338:I339"/>
    <mergeCell ref="D373:D379"/>
    <mergeCell ref="H344:H345"/>
    <mergeCell ref="D346:D347"/>
    <mergeCell ref="J346:J347"/>
    <mergeCell ref="J356:J357"/>
    <mergeCell ref="J352:J353"/>
    <mergeCell ref="I354:I355"/>
    <mergeCell ref="J383:J386"/>
    <mergeCell ref="D20:E20"/>
    <mergeCell ref="D21:E22"/>
    <mergeCell ref="D23:E24"/>
    <mergeCell ref="D25:E26"/>
    <mergeCell ref="C200:C201"/>
    <mergeCell ref="D351:E351"/>
    <mergeCell ref="L359:L362"/>
    <mergeCell ref="L383:L386"/>
    <mergeCell ref="M371:N371"/>
    <mergeCell ref="F211:F212"/>
    <mergeCell ref="G211:G212"/>
    <mergeCell ref="C380:C381"/>
    <mergeCell ref="D380:D381"/>
    <mergeCell ref="E380:E381"/>
    <mergeCell ref="F380:F381"/>
    <mergeCell ref="C161:C162"/>
    <mergeCell ref="J154:J155"/>
    <mergeCell ref="G205:G206"/>
    <mergeCell ref="H205:H206"/>
    <mergeCell ref="I205:I206"/>
    <mergeCell ref="I211:I212"/>
    <mergeCell ref="I213:I214"/>
    <mergeCell ref="G202:G203"/>
    <mergeCell ref="H202:H203"/>
    <mergeCell ref="J202:J203"/>
    <mergeCell ref="H200:H201"/>
    <mergeCell ref="J200:J201"/>
    <mergeCell ref="G200:G201"/>
    <mergeCell ref="I200:I201"/>
    <mergeCell ref="I202:I203"/>
    <mergeCell ref="I239:I240"/>
    <mergeCell ref="F237:F238"/>
    <mergeCell ref="AB370:AC370"/>
    <mergeCell ref="AB369:AC369"/>
    <mergeCell ref="AB368:AC368"/>
    <mergeCell ref="AB367:AC367"/>
    <mergeCell ref="AB365:AC365"/>
    <mergeCell ref="AB378:AC378"/>
    <mergeCell ref="AB372:AC372"/>
    <mergeCell ref="AB366:AC366"/>
    <mergeCell ref="AB375:AC375"/>
    <mergeCell ref="AB371:AC371"/>
    <mergeCell ref="AB373:AC373"/>
    <mergeCell ref="AB377:AC377"/>
    <mergeCell ref="A396:A402"/>
    <mergeCell ref="D398:E398"/>
    <mergeCell ref="B399:B400"/>
    <mergeCell ref="B401:B402"/>
    <mergeCell ref="J380:J381"/>
    <mergeCell ref="B365:B370"/>
    <mergeCell ref="AB380:AC380"/>
    <mergeCell ref="AB379:AC379"/>
    <mergeCell ref="G380:G381"/>
    <mergeCell ref="H380:H381"/>
    <mergeCell ref="J394:J395"/>
    <mergeCell ref="I399:I400"/>
    <mergeCell ref="G388:G393"/>
    <mergeCell ref="H388:H393"/>
    <mergeCell ref="B394:B395"/>
    <mergeCell ref="C394:C395"/>
    <mergeCell ref="D394:D395"/>
    <mergeCell ref="A387:A395"/>
    <mergeCell ref="I394:I395"/>
    <mergeCell ref="B388:B393"/>
    <mergeCell ref="C189:C195"/>
    <mergeCell ref="D189:D195"/>
    <mergeCell ref="G180:G181"/>
    <mergeCell ref="F200:F201"/>
    <mergeCell ref="F202:F203"/>
    <mergeCell ref="D200:E201"/>
    <mergeCell ref="D415:E420"/>
    <mergeCell ref="G415:G420"/>
    <mergeCell ref="H415:H420"/>
    <mergeCell ref="I415:I420"/>
    <mergeCell ref="F189:F195"/>
    <mergeCell ref="G189:G195"/>
    <mergeCell ref="A158:A164"/>
    <mergeCell ref="B407:B408"/>
    <mergeCell ref="C407:C408"/>
    <mergeCell ref="D407:E408"/>
    <mergeCell ref="C302:C303"/>
    <mergeCell ref="D302:E303"/>
    <mergeCell ref="F304:F305"/>
    <mergeCell ref="C229:C232"/>
    <mergeCell ref="D229:D232"/>
    <mergeCell ref="C243:C244"/>
    <mergeCell ref="C415:C420"/>
    <mergeCell ref="I237:I238"/>
    <mergeCell ref="G237:G238"/>
    <mergeCell ref="F239:F240"/>
    <mergeCell ref="D301:E301"/>
    <mergeCell ref="D274:D275"/>
    <mergeCell ref="E274:E275"/>
    <mergeCell ref="F274:F275"/>
    <mergeCell ref="G274:G275"/>
    <mergeCell ref="H274:H275"/>
    <mergeCell ref="C198:C199"/>
    <mergeCell ref="D205:E206"/>
    <mergeCell ref="D245:D246"/>
    <mergeCell ref="H292:H298"/>
    <mergeCell ref="I292:I298"/>
    <mergeCell ref="B213:B214"/>
    <mergeCell ref="AB376:AC376"/>
    <mergeCell ref="J373:J379"/>
    <mergeCell ref="J176:J177"/>
    <mergeCell ref="AB364:AC364"/>
    <mergeCell ref="A148:A157"/>
    <mergeCell ref="D151:E151"/>
    <mergeCell ref="B156:B157"/>
    <mergeCell ref="C156:C157"/>
    <mergeCell ref="D156:D157"/>
    <mergeCell ref="E156:E157"/>
    <mergeCell ref="F156:F157"/>
    <mergeCell ref="G156:G157"/>
    <mergeCell ref="A187:A195"/>
    <mergeCell ref="B170:B171"/>
    <mergeCell ref="C170:C171"/>
    <mergeCell ref="F170:F171"/>
    <mergeCell ref="G170:G171"/>
    <mergeCell ref="A165:A171"/>
    <mergeCell ref="B168:B169"/>
    <mergeCell ref="C168:C169"/>
    <mergeCell ref="I373:I379"/>
    <mergeCell ref="G168:G169"/>
    <mergeCell ref="E180:E181"/>
    <mergeCell ref="D180:D181"/>
    <mergeCell ref="C180:C181"/>
    <mergeCell ref="B189:B195"/>
    <mergeCell ref="I170:I171"/>
    <mergeCell ref="J170:J171"/>
    <mergeCell ref="H168:H169"/>
    <mergeCell ref="I168:I169"/>
    <mergeCell ref="H156:H157"/>
    <mergeCell ref="I156:I157"/>
    <mergeCell ref="J161:J162"/>
    <mergeCell ref="J163:J164"/>
    <mergeCell ref="H189:H195"/>
    <mergeCell ref="I189:I195"/>
    <mergeCell ref="J189:J195"/>
    <mergeCell ref="H183:H186"/>
    <mergeCell ref="I183:I186"/>
    <mergeCell ref="F163:F164"/>
    <mergeCell ref="G163:G164"/>
    <mergeCell ref="H163:H164"/>
    <mergeCell ref="I163:I164"/>
    <mergeCell ref="H180:H181"/>
    <mergeCell ref="J180:J181"/>
    <mergeCell ref="I180:I181"/>
    <mergeCell ref="G183:G186"/>
    <mergeCell ref="F213:F214"/>
    <mergeCell ref="J198:J199"/>
    <mergeCell ref="M187:N187"/>
    <mergeCell ref="L183:L186"/>
    <mergeCell ref="F180:F181"/>
    <mergeCell ref="F176:F177"/>
    <mergeCell ref="G176:G177"/>
    <mergeCell ref="H176:H177"/>
    <mergeCell ref="I176:I177"/>
    <mergeCell ref="M196:N196"/>
    <mergeCell ref="B245:B246"/>
    <mergeCell ref="D242:E242"/>
    <mergeCell ref="B229:B232"/>
    <mergeCell ref="E224:E225"/>
    <mergeCell ref="J205:J206"/>
    <mergeCell ref="C237:C238"/>
    <mergeCell ref="D237:D238"/>
    <mergeCell ref="E237:E238"/>
    <mergeCell ref="D176:E177"/>
    <mergeCell ref="C176:C177"/>
    <mergeCell ref="D216:D219"/>
    <mergeCell ref="E216:E219"/>
    <mergeCell ref="F216:F219"/>
    <mergeCell ref="L229:L232"/>
    <mergeCell ref="I224:I225"/>
    <mergeCell ref="F224:F225"/>
    <mergeCell ref="J243:J244"/>
    <mergeCell ref="G198:G199"/>
    <mergeCell ref="D202:E203"/>
    <mergeCell ref="B239:B240"/>
    <mergeCell ref="C202:C203"/>
    <mergeCell ref="B200:B201"/>
    <mergeCell ref="L277:L280"/>
    <mergeCell ref="J283:J289"/>
    <mergeCell ref="J292:J298"/>
    <mergeCell ref="J272:J273"/>
    <mergeCell ref="L265:L268"/>
    <mergeCell ref="B272:B273"/>
    <mergeCell ref="C272:C273"/>
    <mergeCell ref="D272:E273"/>
    <mergeCell ref="D208:E208"/>
    <mergeCell ref="A249:A256"/>
    <mergeCell ref="D197:E197"/>
    <mergeCell ref="C178:C179"/>
    <mergeCell ref="C211:C212"/>
    <mergeCell ref="B211:B212"/>
    <mergeCell ref="G161:G162"/>
    <mergeCell ref="H161:H162"/>
    <mergeCell ref="I161:I162"/>
    <mergeCell ref="B163:B164"/>
    <mergeCell ref="C163:C164"/>
    <mergeCell ref="D163:D164"/>
    <mergeCell ref="E163:E164"/>
    <mergeCell ref="B176:B177"/>
    <mergeCell ref="H198:H199"/>
    <mergeCell ref="I198:I199"/>
    <mergeCell ref="C247:C248"/>
    <mergeCell ref="A233:A240"/>
    <mergeCell ref="A241:A248"/>
    <mergeCell ref="F245:F246"/>
    <mergeCell ref="F247:F248"/>
    <mergeCell ref="H243:H244"/>
    <mergeCell ref="H226:H227"/>
    <mergeCell ref="G226:G227"/>
    <mergeCell ref="I245:I246"/>
    <mergeCell ref="G245:G246"/>
    <mergeCell ref="D247:D248"/>
    <mergeCell ref="E247:E248"/>
    <mergeCell ref="E245:E246"/>
    <mergeCell ref="F222:F223"/>
    <mergeCell ref="I243:I244"/>
    <mergeCell ref="J245:J246"/>
    <mergeCell ref="H245:H246"/>
    <mergeCell ref="C304:C305"/>
    <mergeCell ref="B311:B312"/>
    <mergeCell ref="J321:J322"/>
    <mergeCell ref="C311:C312"/>
    <mergeCell ref="J317:J318"/>
    <mergeCell ref="B319:B320"/>
    <mergeCell ref="C319:C320"/>
    <mergeCell ref="D319:D320"/>
    <mergeCell ref="D304:D305"/>
    <mergeCell ref="H304:H305"/>
    <mergeCell ref="I304:I305"/>
    <mergeCell ref="F292:F298"/>
    <mergeCell ref="F272:F273"/>
    <mergeCell ref="G235:G236"/>
    <mergeCell ref="H235:H236"/>
    <mergeCell ref="I235:I236"/>
    <mergeCell ref="B247:B248"/>
    <mergeCell ref="B243:B244"/>
    <mergeCell ref="B237:B238"/>
    <mergeCell ref="D282:E282"/>
    <mergeCell ref="E304:E305"/>
    <mergeCell ref="I283:I289"/>
    <mergeCell ref="D311:D312"/>
    <mergeCell ref="M249:N249"/>
    <mergeCell ref="M250:N250"/>
    <mergeCell ref="B265:B268"/>
    <mergeCell ref="C265:C268"/>
    <mergeCell ref="D265:D268"/>
    <mergeCell ref="E265:E268"/>
    <mergeCell ref="F265:F268"/>
    <mergeCell ref="G265:G268"/>
    <mergeCell ref="H265:H268"/>
    <mergeCell ref="I265:I268"/>
    <mergeCell ref="M233:N233"/>
    <mergeCell ref="D234:E234"/>
    <mergeCell ref="B235:B236"/>
    <mergeCell ref="C235:C236"/>
    <mergeCell ref="D235:E236"/>
    <mergeCell ref="F235:F236"/>
    <mergeCell ref="G224:G225"/>
    <mergeCell ref="C245:C246"/>
    <mergeCell ref="J235:J236"/>
    <mergeCell ref="J265:J268"/>
    <mergeCell ref="B260:B261"/>
    <mergeCell ref="I229:I232"/>
    <mergeCell ref="J229:J232"/>
    <mergeCell ref="J226:J227"/>
    <mergeCell ref="C239:C240"/>
    <mergeCell ref="D239:D240"/>
    <mergeCell ref="E239:E240"/>
    <mergeCell ref="G239:G240"/>
    <mergeCell ref="H239:H240"/>
    <mergeCell ref="J239:J240"/>
    <mergeCell ref="J237:J238"/>
    <mergeCell ref="H237:H238"/>
    <mergeCell ref="A196:A206"/>
    <mergeCell ref="H209:H210"/>
    <mergeCell ref="I209:I210"/>
    <mergeCell ref="F205:F206"/>
    <mergeCell ref="B180:B181"/>
    <mergeCell ref="D175:E175"/>
    <mergeCell ref="J146:J147"/>
    <mergeCell ref="B136:B139"/>
    <mergeCell ref="A140:A147"/>
    <mergeCell ref="D141:E141"/>
    <mergeCell ref="B144:B145"/>
    <mergeCell ref="C144:C145"/>
    <mergeCell ref="F144:F145"/>
    <mergeCell ref="G144:G145"/>
    <mergeCell ref="H144:H145"/>
    <mergeCell ref="I144:I145"/>
    <mergeCell ref="J144:J145"/>
    <mergeCell ref="B146:B147"/>
    <mergeCell ref="C146:C147"/>
    <mergeCell ref="F146:F147"/>
    <mergeCell ref="G146:G147"/>
    <mergeCell ref="H146:H147"/>
    <mergeCell ref="B205:B206"/>
    <mergeCell ref="C205:C206"/>
    <mergeCell ref="J156:J157"/>
    <mergeCell ref="B183:B186"/>
    <mergeCell ref="C183:C186"/>
    <mergeCell ref="D183:D186"/>
    <mergeCell ref="E183:E186"/>
    <mergeCell ref="F183:F186"/>
    <mergeCell ref="J168:J169"/>
    <mergeCell ref="H170:H171"/>
    <mergeCell ref="B152:B153"/>
    <mergeCell ref="C152:C153"/>
    <mergeCell ref="D152:E153"/>
    <mergeCell ref="F152:F153"/>
    <mergeCell ref="G152:G153"/>
    <mergeCell ref="H152:H153"/>
    <mergeCell ref="I152:I153"/>
    <mergeCell ref="I133:I134"/>
    <mergeCell ref="J129:J130"/>
    <mergeCell ref="A117:A126"/>
    <mergeCell ref="I146:I147"/>
    <mergeCell ref="B142:B143"/>
    <mergeCell ref="C142:C143"/>
    <mergeCell ref="G142:G143"/>
    <mergeCell ref="H142:H143"/>
    <mergeCell ref="I142:I143"/>
    <mergeCell ref="D144:D145"/>
    <mergeCell ref="E144:E145"/>
    <mergeCell ref="D146:D147"/>
    <mergeCell ref="D14:D16"/>
    <mergeCell ref="E14:E16"/>
    <mergeCell ref="A18:P18"/>
    <mergeCell ref="B209:B210"/>
    <mergeCell ref="J112:J113"/>
    <mergeCell ref="D111:E111"/>
    <mergeCell ref="A109:A115"/>
    <mergeCell ref="B114:B115"/>
    <mergeCell ref="C114:C115"/>
    <mergeCell ref="D114:E115"/>
    <mergeCell ref="F114:F115"/>
    <mergeCell ref="G114:G115"/>
    <mergeCell ref="H114:H115"/>
    <mergeCell ref="I114:I115"/>
    <mergeCell ref="J114:J115"/>
    <mergeCell ref="B133:B13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B131:B132"/>
    <mergeCell ref="D128:E128"/>
    <mergeCell ref="B129:B130"/>
    <mergeCell ref="C129:C130"/>
    <mergeCell ref="D129:E130"/>
    <mergeCell ref="F129:F130"/>
    <mergeCell ref="G129:G130"/>
    <mergeCell ref="H129:H130"/>
    <mergeCell ref="A10:P10"/>
    <mergeCell ref="A11:P11"/>
    <mergeCell ref="A12:P12"/>
    <mergeCell ref="M14:P15"/>
    <mergeCell ref="F14:F16"/>
    <mergeCell ref="G14:G16"/>
    <mergeCell ref="A14:A16"/>
    <mergeCell ref="B14:B16"/>
    <mergeCell ref="C14:C16"/>
    <mergeCell ref="H14:H16"/>
    <mergeCell ref="I14:J15"/>
    <mergeCell ref="K14:L15"/>
    <mergeCell ref="A87:A97"/>
    <mergeCell ref="D88:E88"/>
    <mergeCell ref="B216:B219"/>
    <mergeCell ref="G213:G214"/>
    <mergeCell ref="H211:H212"/>
    <mergeCell ref="H213:H214"/>
    <mergeCell ref="J213:J214"/>
    <mergeCell ref="J89:J90"/>
    <mergeCell ref="D91:E91"/>
    <mergeCell ref="B92:B93"/>
    <mergeCell ref="C92:C93"/>
    <mergeCell ref="D92:E93"/>
    <mergeCell ref="C74:C75"/>
    <mergeCell ref="D74:E75"/>
    <mergeCell ref="C136:C139"/>
    <mergeCell ref="D136:D139"/>
    <mergeCell ref="E136:E139"/>
    <mergeCell ref="J133:J134"/>
    <mergeCell ref="I131:I132"/>
    <mergeCell ref="K19:L19"/>
    <mergeCell ref="B21:B22"/>
    <mergeCell ref="B23:B24"/>
    <mergeCell ref="B25:B26"/>
    <mergeCell ref="A19:A26"/>
    <mergeCell ref="E229:E232"/>
    <mergeCell ref="C216:C219"/>
    <mergeCell ref="C226:C227"/>
    <mergeCell ref="C222:C223"/>
    <mergeCell ref="H222:H223"/>
    <mergeCell ref="F229:F232"/>
    <mergeCell ref="C209:C210"/>
    <mergeCell ref="F209:F210"/>
    <mergeCell ref="F94:F95"/>
    <mergeCell ref="G94:G95"/>
    <mergeCell ref="H94:H95"/>
    <mergeCell ref="B178:B179"/>
    <mergeCell ref="J222:J223"/>
    <mergeCell ref="G222:G223"/>
    <mergeCell ref="D222:E223"/>
    <mergeCell ref="D221:E221"/>
    <mergeCell ref="J224:J225"/>
    <mergeCell ref="F112:F113"/>
    <mergeCell ref="G112:G113"/>
    <mergeCell ref="H112:H113"/>
    <mergeCell ref="A116:P116"/>
    <mergeCell ref="M118:N118"/>
    <mergeCell ref="M119:N119"/>
    <mergeCell ref="B121:B122"/>
    <mergeCell ref="C121:C122"/>
    <mergeCell ref="D121:E122"/>
    <mergeCell ref="F121:F122"/>
    <mergeCell ref="B202:B203"/>
    <mergeCell ref="A323:A329"/>
    <mergeCell ref="A281:A289"/>
    <mergeCell ref="A299:A305"/>
    <mergeCell ref="B302:B303"/>
    <mergeCell ref="D226:D227"/>
    <mergeCell ref="D243:E244"/>
    <mergeCell ref="D224:D225"/>
    <mergeCell ref="H224:H225"/>
    <mergeCell ref="B283:B289"/>
    <mergeCell ref="C283:C289"/>
    <mergeCell ref="D283:E289"/>
    <mergeCell ref="F283:F289"/>
    <mergeCell ref="G283:G289"/>
    <mergeCell ref="H283:H289"/>
    <mergeCell ref="A313:A322"/>
    <mergeCell ref="D316:E316"/>
    <mergeCell ref="B317:B318"/>
    <mergeCell ref="C317:C318"/>
    <mergeCell ref="D317:E318"/>
    <mergeCell ref="B262:B263"/>
    <mergeCell ref="A290:A298"/>
    <mergeCell ref="G309:G310"/>
    <mergeCell ref="F302:F303"/>
    <mergeCell ref="B321:B322"/>
    <mergeCell ref="C321:C322"/>
    <mergeCell ref="D321:D322"/>
    <mergeCell ref="E321:E322"/>
    <mergeCell ref="F321:F322"/>
    <mergeCell ref="G321:G322"/>
    <mergeCell ref="H321:H322"/>
    <mergeCell ref="H319:H320"/>
    <mergeCell ref="B274:B275"/>
    <mergeCell ref="A306:A312"/>
    <mergeCell ref="B309:B310"/>
    <mergeCell ref="C309:C310"/>
    <mergeCell ref="D344:E345"/>
    <mergeCell ref="B346:B347"/>
    <mergeCell ref="C346:C347"/>
    <mergeCell ref="B348:B349"/>
    <mergeCell ref="B251:B256"/>
    <mergeCell ref="C251:C256"/>
    <mergeCell ref="A340:A349"/>
    <mergeCell ref="D343:E343"/>
    <mergeCell ref="B344:B345"/>
    <mergeCell ref="C344:C345"/>
    <mergeCell ref="D259:E259"/>
    <mergeCell ref="C224:C225"/>
    <mergeCell ref="C326:C327"/>
    <mergeCell ref="C328:C329"/>
    <mergeCell ref="D326:E327"/>
    <mergeCell ref="D328:D329"/>
    <mergeCell ref="E328:E329"/>
    <mergeCell ref="D291:E291"/>
    <mergeCell ref="B292:B298"/>
    <mergeCell ref="C292:C298"/>
    <mergeCell ref="D292:E298"/>
    <mergeCell ref="D271:E271"/>
    <mergeCell ref="C262:C263"/>
    <mergeCell ref="C260:C261"/>
    <mergeCell ref="E226:E227"/>
    <mergeCell ref="B338:B339"/>
    <mergeCell ref="A330:A339"/>
    <mergeCell ref="D251:D256"/>
    <mergeCell ref="E251:E256"/>
    <mergeCell ref="B277:B280"/>
    <mergeCell ref="C277:C280"/>
    <mergeCell ref="D277:D280"/>
    <mergeCell ref="E277:E280"/>
    <mergeCell ref="F277:F280"/>
    <mergeCell ref="G277:G280"/>
    <mergeCell ref="H277:H280"/>
    <mergeCell ref="I388:I393"/>
    <mergeCell ref="J388:J393"/>
    <mergeCell ref="C365:C370"/>
    <mergeCell ref="D365:D370"/>
    <mergeCell ref="E365:E370"/>
    <mergeCell ref="F365:F370"/>
    <mergeCell ref="J365:J370"/>
    <mergeCell ref="D354:D355"/>
    <mergeCell ref="E354:E355"/>
    <mergeCell ref="D356:D357"/>
    <mergeCell ref="B383:B386"/>
    <mergeCell ref="C356:C357"/>
    <mergeCell ref="C354:C355"/>
    <mergeCell ref="E356:E357"/>
    <mergeCell ref="D325:E325"/>
    <mergeCell ref="J354:J355"/>
    <mergeCell ref="H352:H353"/>
    <mergeCell ref="I348:I349"/>
    <mergeCell ref="G348:G349"/>
    <mergeCell ref="E348:E349"/>
    <mergeCell ref="G328:G329"/>
    <mergeCell ref="I365:I370"/>
    <mergeCell ref="I311:I312"/>
    <mergeCell ref="E319:E320"/>
    <mergeCell ref="F319:F320"/>
    <mergeCell ref="I251:I256"/>
    <mergeCell ref="J251:J256"/>
    <mergeCell ref="J262:J263"/>
    <mergeCell ref="G247:G248"/>
    <mergeCell ref="H247:H248"/>
    <mergeCell ref="J247:J248"/>
    <mergeCell ref="G302:G303"/>
    <mergeCell ref="J105:J106"/>
    <mergeCell ref="B85:B86"/>
    <mergeCell ref="F356:F357"/>
    <mergeCell ref="F354:F355"/>
    <mergeCell ref="G354:G355"/>
    <mergeCell ref="I352:I353"/>
    <mergeCell ref="B328:B329"/>
    <mergeCell ref="G311:G312"/>
    <mergeCell ref="H311:H312"/>
    <mergeCell ref="I356:I357"/>
    <mergeCell ref="J100:J101"/>
    <mergeCell ref="H85:H86"/>
    <mergeCell ref="I85:I86"/>
    <mergeCell ref="J85:J86"/>
    <mergeCell ref="B89:B90"/>
    <mergeCell ref="C89:C90"/>
    <mergeCell ref="D89:E90"/>
    <mergeCell ref="F89:F90"/>
    <mergeCell ref="G89:G90"/>
    <mergeCell ref="B94:B95"/>
    <mergeCell ref="F92:F93"/>
    <mergeCell ref="H262:H263"/>
    <mergeCell ref="I262:I263"/>
    <mergeCell ref="I328:I329"/>
    <mergeCell ref="H309:H310"/>
    <mergeCell ref="L49:L52"/>
    <mergeCell ref="F49:F52"/>
    <mergeCell ref="G49:G52"/>
    <mergeCell ref="I61:I62"/>
    <mergeCell ref="J61:J62"/>
    <mergeCell ref="F100:F101"/>
    <mergeCell ref="G100:G101"/>
    <mergeCell ref="H100:H101"/>
    <mergeCell ref="I100:I101"/>
    <mergeCell ref="F74:F75"/>
    <mergeCell ref="G74:G75"/>
    <mergeCell ref="H74:H75"/>
    <mergeCell ref="I74:I75"/>
    <mergeCell ref="J67:J68"/>
    <mergeCell ref="L136:L139"/>
    <mergeCell ref="F243:F244"/>
    <mergeCell ref="G243:G244"/>
    <mergeCell ref="J125:J126"/>
    <mergeCell ref="J103:J104"/>
    <mergeCell ref="I121:I122"/>
    <mergeCell ref="J121:J122"/>
    <mergeCell ref="F123:F124"/>
    <mergeCell ref="G123:G124"/>
    <mergeCell ref="H123:H124"/>
    <mergeCell ref="I123:I124"/>
    <mergeCell ref="J123:J124"/>
    <mergeCell ref="L216:L219"/>
    <mergeCell ref="G209:G210"/>
    <mergeCell ref="J183:J186"/>
    <mergeCell ref="J96:J97"/>
    <mergeCell ref="I72:I73"/>
    <mergeCell ref="F154:F155"/>
    <mergeCell ref="F317:F318"/>
    <mergeCell ref="G317:G318"/>
    <mergeCell ref="H317:H318"/>
    <mergeCell ref="H260:H261"/>
    <mergeCell ref="I260:I261"/>
    <mergeCell ref="H302:H303"/>
    <mergeCell ref="I319:I320"/>
    <mergeCell ref="J319:J320"/>
    <mergeCell ref="I321:I322"/>
    <mergeCell ref="I317:I318"/>
    <mergeCell ref="I277:I280"/>
    <mergeCell ref="G326:G327"/>
    <mergeCell ref="F328:F329"/>
    <mergeCell ref="I326:I327"/>
    <mergeCell ref="J304:J305"/>
    <mergeCell ref="J309:J310"/>
    <mergeCell ref="I334:I335"/>
    <mergeCell ref="G334:G335"/>
    <mergeCell ref="G304:G305"/>
    <mergeCell ref="G292:G298"/>
    <mergeCell ref="I274:I275"/>
    <mergeCell ref="G319:G320"/>
    <mergeCell ref="I272:I273"/>
    <mergeCell ref="J302:J303"/>
    <mergeCell ref="H326:H327"/>
    <mergeCell ref="G262:G263"/>
    <mergeCell ref="J274:J275"/>
    <mergeCell ref="J277:J280"/>
    <mergeCell ref="F334:F335"/>
    <mergeCell ref="I309:I310"/>
    <mergeCell ref="F262:F263"/>
    <mergeCell ref="F326:F327"/>
    <mergeCell ref="J260:J261"/>
    <mergeCell ref="C213:C214"/>
    <mergeCell ref="G59:G60"/>
    <mergeCell ref="H59:H60"/>
    <mergeCell ref="D102:E102"/>
    <mergeCell ref="B103:B104"/>
    <mergeCell ref="D78:E79"/>
    <mergeCell ref="B326:B327"/>
    <mergeCell ref="B222:B223"/>
    <mergeCell ref="B226:B227"/>
    <mergeCell ref="B224:B225"/>
    <mergeCell ref="G229:G232"/>
    <mergeCell ref="H229:H232"/>
    <mergeCell ref="D142:E143"/>
    <mergeCell ref="F142:F143"/>
    <mergeCell ref="D168:E169"/>
    <mergeCell ref="F168:F169"/>
    <mergeCell ref="B198:B199"/>
    <mergeCell ref="B105:B106"/>
    <mergeCell ref="D198:E199"/>
    <mergeCell ref="F198:F199"/>
    <mergeCell ref="D209:E210"/>
    <mergeCell ref="E189:E195"/>
    <mergeCell ref="G272:G273"/>
    <mergeCell ref="H272:H273"/>
    <mergeCell ref="F226:F227"/>
    <mergeCell ref="H251:H256"/>
    <mergeCell ref="E262:E263"/>
    <mergeCell ref="C274:C275"/>
    <mergeCell ref="B304:B305"/>
    <mergeCell ref="B123:B124"/>
    <mergeCell ref="C123:C124"/>
    <mergeCell ref="J70:J71"/>
    <mergeCell ref="J72:J73"/>
    <mergeCell ref="J74:J75"/>
    <mergeCell ref="J78:J79"/>
    <mergeCell ref="J81:J82"/>
    <mergeCell ref="J83:J84"/>
    <mergeCell ref="I83:I84"/>
    <mergeCell ref="G61:G62"/>
    <mergeCell ref="H61:H62"/>
    <mergeCell ref="F78:F79"/>
    <mergeCell ref="G78:G79"/>
    <mergeCell ref="H78:H79"/>
    <mergeCell ref="G121:G122"/>
    <mergeCell ref="H121:H122"/>
    <mergeCell ref="D167:E167"/>
    <mergeCell ref="D161:E162"/>
    <mergeCell ref="F161:F162"/>
    <mergeCell ref="J107:J108"/>
    <mergeCell ref="J63:J64"/>
    <mergeCell ref="J94:J95"/>
    <mergeCell ref="H92:H93"/>
    <mergeCell ref="I78:I79"/>
    <mergeCell ref="D80:E80"/>
    <mergeCell ref="H72:H73"/>
    <mergeCell ref="I136:I139"/>
    <mergeCell ref="J136:J139"/>
    <mergeCell ref="I154:I155"/>
    <mergeCell ref="E146:E147"/>
    <mergeCell ref="I129:I130"/>
    <mergeCell ref="J152:J153"/>
    <mergeCell ref="J142:J143"/>
    <mergeCell ref="I226:I227"/>
    <mergeCell ref="A41:A47"/>
    <mergeCell ref="D43:E43"/>
    <mergeCell ref="B44:B45"/>
    <mergeCell ref="C44:C45"/>
    <mergeCell ref="D44:E45"/>
    <mergeCell ref="B46:B47"/>
    <mergeCell ref="C46:C47"/>
    <mergeCell ref="B49:B52"/>
    <mergeCell ref="C49:C52"/>
    <mergeCell ref="C56:C57"/>
    <mergeCell ref="D56:E57"/>
    <mergeCell ref="D49:D52"/>
    <mergeCell ref="E49:E52"/>
    <mergeCell ref="B56:B57"/>
    <mergeCell ref="H63:H64"/>
    <mergeCell ref="D63:E64"/>
    <mergeCell ref="G83:G84"/>
    <mergeCell ref="H83:H84"/>
    <mergeCell ref="D58:E58"/>
    <mergeCell ref="B74:B75"/>
    <mergeCell ref="A54:A64"/>
    <mergeCell ref="D66:E66"/>
    <mergeCell ref="B67:B68"/>
    <mergeCell ref="H49:H52"/>
    <mergeCell ref="I63:I64"/>
    <mergeCell ref="C94:C95"/>
    <mergeCell ref="D94:E95"/>
    <mergeCell ref="D99:E99"/>
    <mergeCell ref="B100:B101"/>
    <mergeCell ref="C100:C101"/>
    <mergeCell ref="G92:G93"/>
    <mergeCell ref="D55:E55"/>
    <mergeCell ref="D61:E62"/>
    <mergeCell ref="B61:B62"/>
    <mergeCell ref="C61:C62"/>
    <mergeCell ref="F56:F57"/>
    <mergeCell ref="G56:G57"/>
    <mergeCell ref="H56:H57"/>
    <mergeCell ref="I56:I57"/>
    <mergeCell ref="J56:J57"/>
    <mergeCell ref="B59:B60"/>
    <mergeCell ref="C59:C60"/>
    <mergeCell ref="D59:E60"/>
    <mergeCell ref="F59:F60"/>
    <mergeCell ref="B63:B64"/>
    <mergeCell ref="C63:C64"/>
    <mergeCell ref="F63:F64"/>
    <mergeCell ref="G63:G64"/>
    <mergeCell ref="I59:I60"/>
    <mergeCell ref="J59:J60"/>
    <mergeCell ref="B70:B71"/>
    <mergeCell ref="C70:C71"/>
    <mergeCell ref="J23:J24"/>
    <mergeCell ref="I25:I26"/>
    <mergeCell ref="I23:I24"/>
    <mergeCell ref="F25:F26"/>
    <mergeCell ref="F23:F24"/>
    <mergeCell ref="G23:G24"/>
    <mergeCell ref="A76:A86"/>
    <mergeCell ref="D77:E77"/>
    <mergeCell ref="B78:B79"/>
    <mergeCell ref="C78:C79"/>
    <mergeCell ref="B81:B82"/>
    <mergeCell ref="C81:C82"/>
    <mergeCell ref="D81:E82"/>
    <mergeCell ref="F81:F82"/>
    <mergeCell ref="G81:G82"/>
    <mergeCell ref="H81:H82"/>
    <mergeCell ref="I81:I82"/>
    <mergeCell ref="B83:B84"/>
    <mergeCell ref="C83:C84"/>
    <mergeCell ref="D83:E84"/>
    <mergeCell ref="F83:F84"/>
    <mergeCell ref="C85:C86"/>
    <mergeCell ref="D85:E86"/>
    <mergeCell ref="F85:F86"/>
    <mergeCell ref="G85:G86"/>
    <mergeCell ref="A34:A40"/>
    <mergeCell ref="D36:E36"/>
    <mergeCell ref="B37:B38"/>
    <mergeCell ref="C37:C38"/>
    <mergeCell ref="D37:E38"/>
    <mergeCell ref="C39:C40"/>
    <mergeCell ref="I21:I22"/>
    <mergeCell ref="J21:J22"/>
    <mergeCell ref="F30:F31"/>
    <mergeCell ref="G30:G31"/>
    <mergeCell ref="H30:H31"/>
    <mergeCell ref="I30:I31"/>
    <mergeCell ref="J30:J31"/>
    <mergeCell ref="H44:H45"/>
    <mergeCell ref="I44:I45"/>
    <mergeCell ref="J44:J45"/>
    <mergeCell ref="H46:H47"/>
    <mergeCell ref="J46:J47"/>
    <mergeCell ref="I46:I47"/>
    <mergeCell ref="D32:D33"/>
    <mergeCell ref="E32:E33"/>
    <mergeCell ref="F32:F33"/>
    <mergeCell ref="G32:G33"/>
    <mergeCell ref="H32:H33"/>
    <mergeCell ref="J32:J33"/>
    <mergeCell ref="I32:I33"/>
    <mergeCell ref="D39:D40"/>
    <mergeCell ref="I37:I38"/>
    <mergeCell ref="D29:E29"/>
    <mergeCell ref="D30:E31"/>
    <mergeCell ref="J25:J26"/>
    <mergeCell ref="H23:H24"/>
    <mergeCell ref="H37:H38"/>
    <mergeCell ref="F39:F40"/>
    <mergeCell ref="G39:G40"/>
    <mergeCell ref="H39:H40"/>
    <mergeCell ref="J39:J40"/>
    <mergeCell ref="C23:C24"/>
    <mergeCell ref="C25:C26"/>
    <mergeCell ref="G25:G26"/>
    <mergeCell ref="H25:H26"/>
    <mergeCell ref="C67:C68"/>
    <mergeCell ref="D67:E68"/>
    <mergeCell ref="F67:F68"/>
    <mergeCell ref="G67:G68"/>
    <mergeCell ref="H89:H90"/>
    <mergeCell ref="A98:A108"/>
    <mergeCell ref="F260:F261"/>
    <mergeCell ref="G260:G261"/>
    <mergeCell ref="C21:C22"/>
    <mergeCell ref="F21:F22"/>
    <mergeCell ref="G21:G22"/>
    <mergeCell ref="H21:H22"/>
    <mergeCell ref="D100:E101"/>
    <mergeCell ref="D70:E71"/>
    <mergeCell ref="F70:F71"/>
    <mergeCell ref="G70:G71"/>
    <mergeCell ref="H70:H71"/>
    <mergeCell ref="A65:A75"/>
    <mergeCell ref="H67:H68"/>
    <mergeCell ref="A49:A52"/>
    <mergeCell ref="A27:A33"/>
    <mergeCell ref="B30:B31"/>
    <mergeCell ref="C30:C31"/>
    <mergeCell ref="B32:B33"/>
    <mergeCell ref="C32:C33"/>
    <mergeCell ref="B107:B108"/>
    <mergeCell ref="B39:B40"/>
    <mergeCell ref="D107:E108"/>
    <mergeCell ref="I49:I52"/>
    <mergeCell ref="J49:J52"/>
    <mergeCell ref="D213:D214"/>
    <mergeCell ref="D211:D212"/>
    <mergeCell ref="E211:E212"/>
    <mergeCell ref="E213:E214"/>
    <mergeCell ref="J37:J38"/>
    <mergeCell ref="D120:E120"/>
    <mergeCell ref="D131:D132"/>
    <mergeCell ref="E131:E132"/>
    <mergeCell ref="H131:H132"/>
    <mergeCell ref="J131:J132"/>
    <mergeCell ref="D133:D134"/>
    <mergeCell ref="F131:F132"/>
    <mergeCell ref="F133:F134"/>
    <mergeCell ref="I107:I108"/>
    <mergeCell ref="G103:G104"/>
    <mergeCell ref="H103:H104"/>
    <mergeCell ref="F44:F45"/>
    <mergeCell ref="G44:G45"/>
    <mergeCell ref="D46:D47"/>
    <mergeCell ref="E46:E47"/>
    <mergeCell ref="F46:F47"/>
    <mergeCell ref="G46:G47"/>
    <mergeCell ref="G131:G132"/>
    <mergeCell ref="I70:I71"/>
    <mergeCell ref="I89:I90"/>
    <mergeCell ref="F136:F139"/>
    <mergeCell ref="G136:G139"/>
    <mergeCell ref="H136:H139"/>
    <mergeCell ref="I39:I40"/>
    <mergeCell ref="F178:F179"/>
    <mergeCell ref="G178:G179"/>
    <mergeCell ref="H178:H179"/>
    <mergeCell ref="I178:I179"/>
    <mergeCell ref="J178:J179"/>
    <mergeCell ref="B72:B73"/>
    <mergeCell ref="C72:C73"/>
    <mergeCell ref="D72:E73"/>
    <mergeCell ref="F72:F73"/>
    <mergeCell ref="G72:G73"/>
    <mergeCell ref="C103:C104"/>
    <mergeCell ref="D103:E104"/>
    <mergeCell ref="C131:C132"/>
    <mergeCell ref="C133:C134"/>
    <mergeCell ref="C105:C106"/>
    <mergeCell ref="D105:E106"/>
    <mergeCell ref="F105:F106"/>
    <mergeCell ref="G105:G106"/>
    <mergeCell ref="H105:H106"/>
    <mergeCell ref="F107:F108"/>
    <mergeCell ref="G107:G108"/>
    <mergeCell ref="H107:H108"/>
    <mergeCell ref="D123:D124"/>
    <mergeCell ref="E123:E124"/>
    <mergeCell ref="B161:B162"/>
    <mergeCell ref="B154:B155"/>
    <mergeCell ref="C154:C155"/>
    <mergeCell ref="D154:D155"/>
    <mergeCell ref="E154:E155"/>
    <mergeCell ref="G154:G155"/>
    <mergeCell ref="H154:H155"/>
    <mergeCell ref="C107:C108"/>
    <mergeCell ref="J209:J210"/>
    <mergeCell ref="G216:G219"/>
    <mergeCell ref="H216:H219"/>
    <mergeCell ref="I216:I219"/>
    <mergeCell ref="J216:J219"/>
    <mergeCell ref="J211:J212"/>
    <mergeCell ref="E133:E134"/>
    <mergeCell ref="G133:G134"/>
    <mergeCell ref="H133:H134"/>
    <mergeCell ref="D262:D263"/>
    <mergeCell ref="D260:E261"/>
    <mergeCell ref="E311:E312"/>
    <mergeCell ref="F311:F312"/>
    <mergeCell ref="J311:J312"/>
    <mergeCell ref="I112:I113"/>
    <mergeCell ref="I380:I381"/>
    <mergeCell ref="I302:I303"/>
    <mergeCell ref="D309:E310"/>
    <mergeCell ref="F309:F310"/>
    <mergeCell ref="D333:E333"/>
    <mergeCell ref="D334:E335"/>
    <mergeCell ref="D170:D171"/>
    <mergeCell ref="E170:E171"/>
    <mergeCell ref="H328:H329"/>
    <mergeCell ref="J328:J329"/>
    <mergeCell ref="J326:J327"/>
    <mergeCell ref="I247:I248"/>
    <mergeCell ref="J359:J362"/>
    <mergeCell ref="G365:G370"/>
    <mergeCell ref="H365:H370"/>
    <mergeCell ref="G251:G256"/>
    <mergeCell ref="E178:E179"/>
    <mergeCell ref="F251:F256"/>
    <mergeCell ref="D308:E308"/>
    <mergeCell ref="G352:G353"/>
    <mergeCell ref="I103:I104"/>
    <mergeCell ref="D69:E69"/>
    <mergeCell ref="I94:I95"/>
    <mergeCell ref="E39:E40"/>
    <mergeCell ref="F37:F38"/>
    <mergeCell ref="G37:G38"/>
    <mergeCell ref="A3:C3"/>
    <mergeCell ref="M109:N109"/>
    <mergeCell ref="B112:B113"/>
    <mergeCell ref="C112:C113"/>
    <mergeCell ref="D112:E113"/>
    <mergeCell ref="B334:B335"/>
    <mergeCell ref="C334:C335"/>
    <mergeCell ref="I105:I106"/>
    <mergeCell ref="I67:I68"/>
    <mergeCell ref="F103:F104"/>
    <mergeCell ref="B96:B97"/>
    <mergeCell ref="C96:C97"/>
    <mergeCell ref="D96:E97"/>
    <mergeCell ref="F96:F97"/>
    <mergeCell ref="G96:G97"/>
    <mergeCell ref="H96:H97"/>
    <mergeCell ref="I96:I97"/>
    <mergeCell ref="I92:I93"/>
    <mergeCell ref="J92:J93"/>
    <mergeCell ref="F61:F62"/>
    <mergeCell ref="D160:E160"/>
    <mergeCell ref="D178:D179"/>
    <mergeCell ref="I222:I223"/>
  </mergeCells>
  <phoneticPr fontId="0" type="noConversion"/>
  <printOptions horizontalCentered="1"/>
  <pageMargins left="0.19685039370078741" right="0.19685039370078741" top="0.59055118110236227" bottom="0.31496062992125984" header="0.15748031496062992" footer="0.15748031496062992"/>
  <pageSetup paperSize="9" scale="66" fitToHeight="0" orientation="landscape" r:id="rId1"/>
  <headerFooter alignWithMargins="0">
    <oddFooter>&amp;R   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13-ТИ-КЦ-21-СП</vt:lpstr>
      <vt:lpstr>'13-ТИ-КЦ-21-СП'!Заголовки_для_печати</vt:lpstr>
      <vt:lpstr>'13-ТИ-КЦ-21-СП'!Область_печати</vt:lpstr>
    </vt:vector>
  </TitlesOfParts>
  <Company>Dars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K68</dc:creator>
  <cp:lastModifiedBy>Дмитриева Надежда</cp:lastModifiedBy>
  <cp:lastPrinted>2021-08-23T05:34:03Z</cp:lastPrinted>
  <dcterms:created xsi:type="dcterms:W3CDTF">2005-03-23T06:57:05Z</dcterms:created>
  <dcterms:modified xsi:type="dcterms:W3CDTF">2021-08-23T05:50:57Z</dcterms:modified>
</cp:coreProperties>
</file>